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ew7776\Box Sync\Arch and Cloud\Tooling\"/>
    </mc:Choice>
  </mc:AlternateContent>
  <xr:revisionPtr revIDLastSave="0" documentId="13_ncr:1_{FABEABC1-60F4-4BBE-B0BF-B3E56D11C73D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Instructions - Start Here" sheetId="18" r:id="rId1"/>
    <sheet name="Cloud Rubric- Factors" sheetId="14" r:id="rId2"/>
    <sheet name="Cloud Rubric- TCO Evaluation" sheetId="15" r:id="rId3"/>
    <sheet name="Rubric Summary" sheetId="19" r:id="rId4"/>
    <sheet name="Qualitative" sheetId="11" state="hidden" r:id="rId5"/>
    <sheet name="Glossary of Terms" sheetId="6" r:id="rId6"/>
    <sheet name="InstanceChecks" sheetId="17" state="hidden" r:id="rId7"/>
    <sheet name="Instance Defs" sheetId="16" state="hidden" r:id="rId8"/>
    <sheet name="Data Values" sheetId="12" state="hidden" r:id="rId9"/>
  </sheets>
  <externalReferences>
    <externalReference r:id="rId10"/>
  </externalReferences>
  <definedNames>
    <definedName name="AppQuestions" localSheetId="1">#REF!</definedName>
    <definedName name="AppQuestions" localSheetId="0">[1]Questions!$C$27:$C$36</definedName>
    <definedName name="AppQuestions" localSheetId="3">[1]Questions!$C$27:$C$36</definedName>
    <definedName name="AppQuestions">#REF!</definedName>
    <definedName name="Check1">INDIRECT(InstanceChecks!$J$2)</definedName>
    <definedName name="Check2">INDIRECT(InstanceChecks!$J$3)</definedName>
    <definedName name="Component" localSheetId="1">#REF!</definedName>
    <definedName name="Component" localSheetId="5">#REF!</definedName>
    <definedName name="Component" localSheetId="0">'[1]Underpinning Services'!#REF!</definedName>
    <definedName name="Component" localSheetId="4">Qualitative!$B$3:$B$26</definedName>
    <definedName name="Component" localSheetId="3">'[1]Underpinning Services'!#REF!</definedName>
    <definedName name="Component">#REF!</definedName>
    <definedName name="component1">'[1]Underpinning Services'!#REF!</definedName>
    <definedName name="DataCenter" localSheetId="1">#REF!</definedName>
    <definedName name="DataCenter" localSheetId="5">#REF!</definedName>
    <definedName name="DataCenter" localSheetId="0">'[1]Underpinning Services'!#REF!</definedName>
    <definedName name="DataCenter" localSheetId="3">'[1]Underpinning Services'!#REF!</definedName>
    <definedName name="DataCenter">#REF!</definedName>
    <definedName name="greencheck">'Instance Defs'!$B$31</definedName>
    <definedName name="greencheckmark">'Instance Defs'!#REF!</definedName>
    <definedName name="Picture">INDIRECT('Cloud Rubric- TCO Evaluation'!$Q$1)</definedName>
    <definedName name="Qual_Factors" localSheetId="0">[1]Qualitative!$B$3:$B$18</definedName>
    <definedName name="Qual_Factors" localSheetId="3">[1]Qualitative!$B$3:$B$18</definedName>
    <definedName name="Qual_Factors">Qualitative!$B$3:$B$26</definedName>
    <definedName name="Questions">'Data Values'!$B$5:$B$44</definedName>
    <definedName name="redcheck">'Instance Defs'!$C$31</definedName>
    <definedName name="redx">'Instance Defs'!#REF!</definedName>
    <definedName name="Yes_No">'Data Values'!$G$2:$G$3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2" i="19" l="1"/>
  <c r="G41" i="19"/>
  <c r="G40" i="19"/>
  <c r="G12" i="19" l="1"/>
  <c r="U44" i="15" l="1"/>
  <c r="P44" i="15"/>
  <c r="K9" i="15"/>
  <c r="K28" i="15"/>
  <c r="B9" i="15"/>
  <c r="B28" i="15"/>
  <c r="L1" i="15"/>
  <c r="B1" i="15"/>
  <c r="U47" i="15"/>
  <c r="U49" i="15" s="1"/>
  <c r="P47" i="15"/>
  <c r="P49" i="15" s="1"/>
  <c r="U32" i="15"/>
  <c r="U34" i="15"/>
  <c r="U33" i="15"/>
  <c r="U40" i="15" l="1"/>
  <c r="P40" i="15"/>
  <c r="U50" i="15" l="1"/>
  <c r="K59" i="15" s="1"/>
  <c r="P50" i="15"/>
  <c r="K58" i="15" s="1"/>
  <c r="K16" i="15"/>
  <c r="E2" i="14" l="1"/>
  <c r="K13" i="19" l="1"/>
  <c r="K24" i="14" l="1"/>
  <c r="J24" i="14"/>
  <c r="C30" i="19"/>
  <c r="C29" i="19"/>
  <c r="C28" i="19"/>
  <c r="C27" i="19"/>
  <c r="C26" i="19"/>
  <c r="C25" i="19"/>
  <c r="C24" i="19"/>
  <c r="C23" i="19"/>
  <c r="C22" i="19"/>
  <c r="C21" i="19"/>
  <c r="C20" i="19"/>
  <c r="C19" i="19"/>
  <c r="C18" i="19"/>
  <c r="C17" i="19"/>
  <c r="H36" i="14"/>
  <c r="H34" i="14"/>
  <c r="K34" i="14"/>
  <c r="H31" i="14"/>
  <c r="H30" i="14"/>
  <c r="H32" i="14"/>
  <c r="K33" i="14"/>
  <c r="H33" i="14"/>
  <c r="H27" i="14"/>
  <c r="J27" i="14"/>
  <c r="K26" i="14"/>
  <c r="J26" i="14"/>
  <c r="K6" i="11"/>
  <c r="J6" i="11"/>
  <c r="H27" i="11"/>
  <c r="G27" i="11"/>
  <c r="J23" i="14"/>
  <c r="K23" i="14"/>
  <c r="F18" i="19"/>
  <c r="J25" i="14"/>
  <c r="J28" i="14"/>
  <c r="J29" i="14"/>
  <c r="J30" i="14"/>
  <c r="J31" i="14"/>
  <c r="J32" i="14"/>
  <c r="J33" i="14"/>
  <c r="J34" i="14"/>
  <c r="F28" i="19" s="1"/>
  <c r="J35" i="14"/>
  <c r="J36" i="14"/>
  <c r="K25" i="14"/>
  <c r="K27" i="14"/>
  <c r="K28" i="14"/>
  <c r="K29" i="14"/>
  <c r="K30" i="14"/>
  <c r="K31" i="14"/>
  <c r="K32" i="14"/>
  <c r="K35" i="14"/>
  <c r="K36" i="14"/>
  <c r="G37" i="14"/>
  <c r="E27" i="11"/>
  <c r="D27" i="11"/>
  <c r="F24" i="19" l="1"/>
  <c r="F23" i="19"/>
  <c r="F30" i="19"/>
  <c r="F26" i="19"/>
  <c r="F29" i="19"/>
  <c r="F19" i="19"/>
  <c r="F20" i="19"/>
  <c r="F22" i="19"/>
  <c r="F27" i="19"/>
  <c r="F17" i="19"/>
  <c r="F21" i="19"/>
  <c r="F25" i="19"/>
  <c r="G38" i="19" l="1"/>
  <c r="F38" i="19"/>
  <c r="H35" i="14"/>
  <c r="C7" i="19"/>
  <c r="C6" i="19"/>
  <c r="C5" i="19"/>
  <c r="H23" i="14"/>
  <c r="H24" i="14"/>
  <c r="E31" i="14"/>
  <c r="E32" i="14"/>
  <c r="E33" i="14"/>
  <c r="E34" i="14"/>
  <c r="H29" i="14"/>
  <c r="H26" i="14"/>
  <c r="H25" i="14"/>
  <c r="E24" i="14"/>
  <c r="E25" i="14"/>
  <c r="E26" i="14"/>
  <c r="E27" i="14"/>
  <c r="J39" i="14" l="1"/>
  <c r="F5" i="19" s="1"/>
  <c r="K39" i="14"/>
  <c r="F6" i="19" l="1"/>
  <c r="L11" i="19"/>
  <c r="M11" i="19"/>
  <c r="L8" i="19"/>
  <c r="M8" i="19"/>
  <c r="K22" i="15"/>
  <c r="E21" i="15"/>
  <c r="E18" i="15"/>
  <c r="E17" i="15"/>
  <c r="E16" i="15"/>
  <c r="E22" i="15" l="1"/>
  <c r="F35" i="19" s="1"/>
  <c r="G35" i="19"/>
  <c r="E43" i="15"/>
  <c r="N47" i="15"/>
  <c r="H22" i="15" l="1"/>
  <c r="K47" i="15"/>
  <c r="K40" i="15" l="1"/>
  <c r="K49" i="15"/>
  <c r="K43" i="15" l="1"/>
  <c r="D28" i="16"/>
  <c r="D27" i="16"/>
  <c r="O18" i="16"/>
  <c r="L18" i="16"/>
  <c r="P18" i="16" s="1"/>
  <c r="O14" i="16"/>
  <c r="L14" i="16"/>
  <c r="P14" i="16" s="1"/>
  <c r="O13" i="16"/>
  <c r="L13" i="16"/>
  <c r="P13" i="16" s="1"/>
  <c r="O12" i="16"/>
  <c r="L12" i="16"/>
  <c r="R11" i="16"/>
  <c r="N11" i="16" s="1"/>
  <c r="O11" i="16"/>
  <c r="L11" i="16"/>
  <c r="R10" i="16"/>
  <c r="N10" i="16" s="1"/>
  <c r="O10" i="16"/>
  <c r="L10" i="16"/>
  <c r="R9" i="16"/>
  <c r="N9" i="16" s="1"/>
  <c r="O9" i="16"/>
  <c r="L9" i="16"/>
  <c r="R8" i="16"/>
  <c r="N8" i="16" s="1"/>
  <c r="O8" i="16"/>
  <c r="L8" i="16"/>
  <c r="P9" i="16" l="1"/>
  <c r="P8" i="16"/>
  <c r="P12" i="16"/>
  <c r="E40" i="15" s="1"/>
  <c r="D29" i="16"/>
  <c r="P11" i="16"/>
  <c r="P10" i="16"/>
  <c r="F40" i="19" l="1"/>
  <c r="E49" i="15"/>
  <c r="F42" i="19" s="1"/>
  <c r="E44" i="15"/>
  <c r="F41" i="19" s="1"/>
  <c r="K44" i="15"/>
  <c r="M40" i="15"/>
  <c r="D40" i="15"/>
  <c r="E50" i="15" l="1"/>
  <c r="K50" i="15"/>
  <c r="K57" i="15" s="1"/>
  <c r="K53" i="15" s="1"/>
  <c r="L53" i="15" s="1"/>
  <c r="E53" i="15"/>
  <c r="F43" i="19" l="1"/>
  <c r="K61" i="15"/>
  <c r="K62" i="15"/>
  <c r="K65" i="15"/>
  <c r="K63" i="15"/>
  <c r="G9" i="19"/>
  <c r="H28" i="14"/>
  <c r="H55" i="15" l="1"/>
  <c r="K4" i="15" s="1"/>
  <c r="K67" i="15"/>
  <c r="E66" i="15"/>
  <c r="G43" i="19"/>
  <c r="K66" i="15"/>
  <c r="E67" i="15"/>
  <c r="G27" i="14"/>
  <c r="E36" i="14"/>
  <c r="E35" i="14"/>
  <c r="G34" i="14"/>
  <c r="G33" i="14"/>
  <c r="G32" i="14"/>
  <c r="G31" i="14"/>
  <c r="E30" i="14"/>
  <c r="E29" i="14"/>
  <c r="E28" i="14"/>
  <c r="E23" i="14"/>
  <c r="I3" i="17" l="1"/>
  <c r="J3" i="17" s="1"/>
  <c r="I2" i="17"/>
  <c r="J2" i="17" s="1"/>
  <c r="B4" i="15"/>
  <c r="G8" i="19" s="1"/>
  <c r="E55" i="15"/>
  <c r="K55" i="15"/>
  <c r="F7" i="19"/>
  <c r="F3" i="19" s="1"/>
  <c r="L9" i="19"/>
  <c r="M9" i="19"/>
  <c r="M13" i="19" s="1"/>
  <c r="G36" i="14"/>
  <c r="G35" i="14"/>
  <c r="G30" i="14"/>
  <c r="G29" i="14"/>
  <c r="G28" i="14"/>
  <c r="G23" i="14"/>
  <c r="L14" i="19" l="1"/>
  <c r="L13" i="19"/>
  <c r="G39" i="14"/>
  <c r="B2" i="12" l="1"/>
  <c r="A2" i="12" s="1"/>
  <c r="F3" i="6"/>
  <c r="G59" i="12" l="1"/>
</calcChain>
</file>

<file path=xl/sharedStrings.xml><?xml version="1.0" encoding="utf-8"?>
<sst xmlns="http://schemas.openxmlformats.org/spreadsheetml/2006/main" count="391" uniqueCount="271">
  <si>
    <t>Document History</t>
  </si>
  <si>
    <t>Service Owner, Department</t>
  </si>
  <si>
    <t>Product</t>
  </si>
  <si>
    <t>Offering</t>
  </si>
  <si>
    <t>Service</t>
  </si>
  <si>
    <t>Days/Year</t>
  </si>
  <si>
    <t>Hours/Year</t>
  </si>
  <si>
    <t>Description</t>
  </si>
  <si>
    <t>*Note: Qualitative Service Factors are defined on the Glossary of Terms tab.</t>
  </si>
  <si>
    <t>No</t>
  </si>
  <si>
    <t>Technology</t>
  </si>
  <si>
    <t>Weight</t>
  </si>
  <si>
    <t>Yes</t>
  </si>
  <si>
    <t>Additional Information</t>
  </si>
  <si>
    <t>Definition</t>
  </si>
  <si>
    <t>Term</t>
  </si>
  <si>
    <t>Please find definitions and additional information for the terms used in this tool.</t>
  </si>
  <si>
    <t>Qualitative Service Factor</t>
  </si>
  <si>
    <t>N</t>
  </si>
  <si>
    <t>Y</t>
  </si>
  <si>
    <t>Yes/No</t>
  </si>
  <si>
    <t>Hours in a Day</t>
  </si>
  <si>
    <t>Min/Year</t>
  </si>
  <si>
    <t>Glossary of Terms</t>
  </si>
  <si>
    <t>Has fewer than 10 servers?</t>
  </si>
  <si>
    <t>Can "lift and shift"?</t>
  </si>
  <si>
    <t>Is the solution Cloud Ready?</t>
  </si>
  <si>
    <t>HIPAA Data Requirement</t>
  </si>
  <si>
    <t>Prefer to place HIPAA data off site in a HIPAA certified cloud environment</t>
  </si>
  <si>
    <t>Is mainframe data required?</t>
  </si>
  <si>
    <t>Ensure cloud application can securely interact with the mainframe</t>
  </si>
  <si>
    <t>Cost avoidance opportunity?</t>
  </si>
  <si>
    <t>Spikey workloads?</t>
  </si>
  <si>
    <t>Does the application need to be able to auto scale up and down on demand?</t>
  </si>
  <si>
    <t xml:space="preserve"> </t>
  </si>
  <si>
    <t>Can a cloud native OS be used?</t>
  </si>
  <si>
    <t>Does the application require on-prem resources?</t>
  </si>
  <si>
    <t>For example, on-prem authentication or other data or applications?</t>
  </si>
  <si>
    <t>By moving this application to the cloud, will it avoid future on-prem infrastructure costs?</t>
  </si>
  <si>
    <t>Non-Funct.</t>
  </si>
  <si>
    <t>n/a</t>
  </si>
  <si>
    <t>Date</t>
  </si>
  <si>
    <t>Purpose</t>
  </si>
  <si>
    <t>Driving Factors to move to the cloud</t>
  </si>
  <si>
    <t>Service Offering being considering for the cloud</t>
  </si>
  <si>
    <t>On-Prem</t>
  </si>
  <si>
    <t>Cost</t>
  </si>
  <si>
    <t>Is the TCO cheaper to run in the cloud?</t>
  </si>
  <si>
    <t>If yes, take advantage of cost savings by running in the cloud.</t>
  </si>
  <si>
    <t>If no, there may be cost implications to run on a traditional OS.</t>
  </si>
  <si>
    <t>Guidance/Comments</t>
  </si>
  <si>
    <t>Is a SaaS option available?</t>
  </si>
  <si>
    <t>Can the application be retired?</t>
  </si>
  <si>
    <t>Vendor support for enterprise services is the standard.</t>
  </si>
  <si>
    <t>SaaS puts most of the responsibility for maintaining servers and updates on the vendor.</t>
  </si>
  <si>
    <t>Characteristics</t>
  </si>
  <si>
    <t>Rate</t>
  </si>
  <si>
    <t>Qty</t>
  </si>
  <si>
    <t>Annual</t>
  </si>
  <si>
    <t>jira-d01</t>
  </si>
  <si>
    <t>jira-d02</t>
  </si>
  <si>
    <t>jira-p01</t>
  </si>
  <si>
    <t>vs.</t>
  </si>
  <si>
    <t>Lot</t>
  </si>
  <si>
    <t>Support</t>
  </si>
  <si>
    <t>Name</t>
  </si>
  <si>
    <t>API Name</t>
  </si>
  <si>
    <t>Virtual Core</t>
  </si>
  <si>
    <t>ECUs</t>
  </si>
  <si>
    <t>GB RAM</t>
  </si>
  <si>
    <t>LS</t>
  </si>
  <si>
    <t>Descr</t>
  </si>
  <si>
    <t>Mon VM</t>
  </si>
  <si>
    <t># of Months</t>
  </si>
  <si>
    <t>Ann Vm</t>
  </si>
  <si>
    <t>Ann MSS or AWS Snapshots</t>
  </si>
  <si>
    <t>Ann Total</t>
  </si>
  <si>
    <t>AWS Snapshots</t>
  </si>
  <si>
    <t>Micro</t>
  </si>
  <si>
    <t>t1.micro</t>
  </si>
  <si>
    <t>Up to 2.0</t>
  </si>
  <si>
    <t>1 Virtual Core, 1 ECUs, 0.6 GB RAM, 0 LS</t>
  </si>
  <si>
    <t>Small</t>
  </si>
  <si>
    <t>m1.small</t>
  </si>
  <si>
    <t>160 GB</t>
  </si>
  <si>
    <t>1 Virtual Core, 1 ECUs, 1.7 GB RAM, 160 GB LS</t>
  </si>
  <si>
    <t>Medium</t>
  </si>
  <si>
    <t>m1.medium</t>
  </si>
  <si>
    <t>410 GB</t>
  </si>
  <si>
    <t>1 Virtual Core, 2 ECUs, 3.7 GB RAM, 410 GB LS</t>
  </si>
  <si>
    <t>Large</t>
  </si>
  <si>
    <t>m1.large</t>
  </si>
  <si>
    <t>850 GB</t>
  </si>
  <si>
    <t>2 Virtual Core, 4 ECUs, 7.5 GB RAM, 850 GB LS</t>
  </si>
  <si>
    <t>Extra Large</t>
  </si>
  <si>
    <t>m1.xlarge</t>
  </si>
  <si>
    <t>4 Virtual Core, 8 ECUs, 15 GB RAM, 1690 GB LS</t>
  </si>
  <si>
    <t>AWS Prod</t>
  </si>
  <si>
    <t>t3a.medium</t>
  </si>
  <si>
    <t>t3a.medium: 2 vCPU, 4 GB RAM, 50 GB Disk + Snapshots</t>
  </si>
  <si>
    <t>AWS Qual</t>
  </si>
  <si>
    <t>t3a.small</t>
  </si>
  <si>
    <t>t3a.small: 2 vCPU, 2 GB RAM, 50 GB Disk + Snapshots</t>
  </si>
  <si>
    <t>AWS Dev</t>
  </si>
  <si>
    <t>AWS Sbx</t>
  </si>
  <si>
    <t>1 vCPU (2.6gHz), 4 GB RAM, 50 GB Disk</t>
  </si>
  <si>
    <t>+</t>
  </si>
  <si>
    <t>1 vCPU (3.0gHz), 2 GB RAM, 50 GB Disk</t>
  </si>
  <si>
    <t>1 vCPU (3.0gHz), 4 GB RAM, 50 GB Disk</t>
  </si>
  <si>
    <t>Sbx Compute</t>
  </si>
  <si>
    <t>Linux Basic</t>
  </si>
  <si>
    <t>Annual Agreement</t>
  </si>
  <si>
    <t>Linux Adv</t>
  </si>
  <si>
    <t>Win Basic</t>
  </si>
  <si>
    <t>Win Advanced</t>
  </si>
  <si>
    <t>mon</t>
  </si>
  <si>
    <t>stonebranch-p01.austin.utexas.edu</t>
  </si>
  <si>
    <t>MSS</t>
  </si>
  <si>
    <t>Oracle</t>
  </si>
  <si>
    <t>Oracle - no charge for on-prem</t>
  </si>
  <si>
    <t>Compute
Storage
Database</t>
  </si>
  <si>
    <t>MySQL</t>
  </si>
  <si>
    <t>MySQL - no charge for on-prem</t>
  </si>
  <si>
    <t>Software
Licensing</t>
  </si>
  <si>
    <t>SaaS</t>
  </si>
  <si>
    <t>Vendor maintains servers, databases, and application.</t>
  </si>
  <si>
    <t>Totals:</t>
  </si>
  <si>
    <t>Checkmarks</t>
  </si>
  <si>
    <t>Vendor
Support</t>
  </si>
  <si>
    <t>Instructions:</t>
  </si>
  <si>
    <t>GreenCheck</t>
  </si>
  <si>
    <t>RedCheck</t>
  </si>
  <si>
    <t>Results</t>
  </si>
  <si>
    <t>InstanceChecks!B2</t>
  </si>
  <si>
    <t>InstanceChecks!B3</t>
  </si>
  <si>
    <t>Current Deployment</t>
  </si>
  <si>
    <t>Evaluating</t>
  </si>
  <si>
    <t>Implementation Costs</t>
  </si>
  <si>
    <t>One Time Costs</t>
  </si>
  <si>
    <t>Annual / Recurring Costs</t>
  </si>
  <si>
    <t>Total</t>
  </si>
  <si>
    <t>Implementation Cost Estimate</t>
  </si>
  <si>
    <t>Overview</t>
  </si>
  <si>
    <t>Instructions</t>
  </si>
  <si>
    <t>Cloud Rubric for Scoring Possible Cloud Migrations and Workloads</t>
  </si>
  <si>
    <t>If rehosting is all that is needed, technical solution design is minimal.</t>
  </si>
  <si>
    <t>Just a gauge to try to measure the level of technical difficulty.</t>
  </si>
  <si>
    <t>Cloud services can support applications with mission critical and HA needs.</t>
  </si>
  <si>
    <t>Is there a business reason the application must remain on-prem?</t>
  </si>
  <si>
    <t>Re-examine the decision to determine why this was (or is) the case.  Is this still a requirement?</t>
  </si>
  <si>
    <t>Cloud
Stoppers</t>
  </si>
  <si>
    <t>Cloud
Strength</t>
  </si>
  <si>
    <t>The Service and Offering</t>
  </si>
  <si>
    <t xml:space="preserve">   Service:</t>
  </si>
  <si>
    <t>Offering:</t>
  </si>
  <si>
    <t>Evaluation:</t>
  </si>
  <si>
    <t>Factor(s)</t>
  </si>
  <si>
    <t>Comment</t>
  </si>
  <si>
    <t>Cloud Rubric- TCO Evaluation</t>
  </si>
  <si>
    <t>Cloud Rubric- Factors</t>
  </si>
  <si>
    <t>Current State</t>
  </si>
  <si>
    <t>Proposed State</t>
  </si>
  <si>
    <t>Compute, Storage, Database</t>
  </si>
  <si>
    <t>Software Licensing</t>
  </si>
  <si>
    <t>Components</t>
  </si>
  <si>
    <t>Total: (See Cloud Rubric- TCO Evaluation for details)</t>
  </si>
  <si>
    <t>Step 1: Fill out the tab "Cloud Rubric- Factors"</t>
  </si>
  <si>
    <t>Step 2: Fill out the tab "Cloud Rubric- TCO Evaluation"</t>
  </si>
  <si>
    <t>Cloud services allow for only running services when needed to minimize cost.</t>
  </si>
  <si>
    <t>Cloud
Stopper</t>
  </si>
  <si>
    <t>Has support from service/application owner for a cloud move?</t>
  </si>
  <si>
    <t>Success depends on the service/application owner supporting a move to the cloud.</t>
  </si>
  <si>
    <t>Retire applications when possible to optimize the portfolio and negate a move to the cloud.</t>
  </si>
  <si>
    <t>Non-Funct</t>
  </si>
  <si>
    <t>Is the workload critical or requires HA (high availability)?</t>
  </si>
  <si>
    <t>Are there offsite requirements for HA/DR?</t>
  </si>
  <si>
    <t>Use the cloud for HA/DR to add resiliency to the service</t>
  </si>
  <si>
    <t>Vendors often times have pre-built base templates available, like CloudFormation by AWS.</t>
  </si>
  <si>
    <t>Cloud services offer various ways to slightly adjust or completely reimagine the application</t>
  </si>
  <si>
    <t>Replatforming / Rearchitecting of the application needed?</t>
  </si>
  <si>
    <t>If moved to the cloud, will vendor support still be available?</t>
  </si>
  <si>
    <t>C-Stop Cnt</t>
  </si>
  <si>
    <t>The Decision</t>
  </si>
  <si>
    <t>C-Strength-Cnt</t>
  </si>
  <si>
    <t>Please answer
'Yes', 'No', or 'n/a'</t>
  </si>
  <si>
    <t>cloud is cheaper</t>
  </si>
  <si>
    <t>No cloud stoppers (3)</t>
  </si>
  <si>
    <t>cloud strengths (8)</t>
  </si>
  <si>
    <t>Ded</t>
  </si>
  <si>
    <t>Add</t>
  </si>
  <si>
    <t>Composite CRM Score</t>
  </si>
  <si>
    <t>Cloud Stoppers:</t>
  </si>
  <si>
    <t>Cloud Strengths:</t>
  </si>
  <si>
    <t>TCO:</t>
  </si>
  <si>
    <t>Out of 34 (higher score = more cloud strengths)</t>
  </si>
  <si>
    <t>Summarize how the 
decision was reached:</t>
  </si>
  <si>
    <t>Cloud Stoppers and Strengths:</t>
  </si>
  <si>
    <t>Implementation Costs:</t>
  </si>
  <si>
    <t>Annual / Recurring Costs:</t>
  </si>
  <si>
    <t>Cloud Rubric Migration Score Summary</t>
  </si>
  <si>
    <t>It is expected that most live services will not have implementation costs for current state.</t>
  </si>
  <si>
    <t>&gt; Answer high level questions about the current on-prem solution
&gt; Consider factors if that workload were moved to the cloud</t>
  </si>
  <si>
    <t>Considering</t>
  </si>
  <si>
    <t>Cloud Migration Factors- How would this workload look in the cloud?</t>
  </si>
  <si>
    <t>In evaluating cloud services and workloads, it is important to understand the technical effort, technical solution, and total cost of ownership when evaluating how cloud services can support a workload.  The goal of this rubric is to help the evaluator understand these aspects to make an informed decision.  After completing the two data input worksheets, a results page will be generated summarizing the evaluation.
If you would like help completing the template, the ITS Emerging Technologies and Architecture team can help.  
Send an e-mail to its-eta@austin.utexas.edu.</t>
  </si>
  <si>
    <t>Cost comparisons of current state (left side) vs. proposed state (right side)</t>
  </si>
  <si>
    <t>Step 3: Review results on the tab "Rubric Summary"</t>
  </si>
  <si>
    <t>Be sure to complete the section to document the decision reached</t>
  </si>
  <si>
    <t>The "Rubric Summary" worksheet will calculate a CRM score (Cloud Rubric Migration) which is intended as a data point for the evaluator to consider when deciding to keep the solution on-prem or move the workload to a cloud provider.</t>
  </si>
  <si>
    <t>Cloud Rubric Factors for Web Services</t>
  </si>
  <si>
    <t>&gt; Complete yellow highlighted cells below on this worksheet
&gt; Do not edit top four (4) rows as results displayed are dynamic based on data completed below
&gt; After completing the worksheet, the TCO evaluation will be complete</t>
  </si>
  <si>
    <t>TCO</t>
  </si>
  <si>
    <t>CRM Score</t>
  </si>
  <si>
    <t>Cloud Rubric Migration Score- which is intended as a data point for the evaluator to consider when deciding to keep the solution on-prem or move the workload to a cloud provider.</t>
  </si>
  <si>
    <t>Total Cost of Ownership- an estimate of all the direct and indirect costs involved in acquiring and operating a product, system or service.</t>
  </si>
  <si>
    <t>Complete cells that are highlighted in this color in the worksheets that follow.
Worksheet to complete are: Cloud Rubric- Factors, Cloud Rubric- TCO Evaluation, Rubric Summary</t>
  </si>
  <si>
    <t>i.e. DevOps</t>
  </si>
  <si>
    <t>i.e. Enterprise Project and Issue Tracking</t>
  </si>
  <si>
    <t>i.e. Jira is used for tracking project and issue management for managers, users, and technical staff.</t>
  </si>
  <si>
    <t>i.e. Jira Server</t>
  </si>
  <si>
    <t>i.e. On-prem</t>
  </si>
  <si>
    <t>i.e. Jira SaaS</t>
  </si>
  <si>
    <t>i.e. Priority 1- Pursuing SaaS Option
        Priority 2- Run service on cloud infrastructure to reduce on-prem footprint</t>
  </si>
  <si>
    <t>John Doe, ITS Campus Solutions</t>
  </si>
  <si>
    <t>Projected Implementation Costs: One-time costs needed for the service to become operational</t>
  </si>
  <si>
    <t>Cloud Evaluation</t>
  </si>
  <si>
    <t>Worksheets</t>
  </si>
  <si>
    <t>Complete yellow highlighted cells on this worksheet</t>
  </si>
  <si>
    <t>With the solution that is being evaluated for a cloud move in mind, answer Yes, No, or n/a to each factor below.</t>
  </si>
  <si>
    <t>AWS Simple Monthly Calculator</t>
  </si>
  <si>
    <t>Google Cloud Platform Pricing Calculator</t>
  </si>
  <si>
    <t>UT-VMG VM Cost Estimator</t>
  </si>
  <si>
    <t>Azure Pricing Calculator</t>
  </si>
  <si>
    <t>Out of 33 (low score=more stoppers, high score=no stoppers)</t>
  </si>
  <si>
    <t>Implementation</t>
  </si>
  <si>
    <t>AWS: Licensing Description</t>
  </si>
  <si>
    <t>AWS: Compute Description</t>
  </si>
  <si>
    <t>AWS: Support Description</t>
  </si>
  <si>
    <t>UT
Support
(on-prem)</t>
  </si>
  <si>
    <t>AWS Annual</t>
  </si>
  <si>
    <t>Azure Annual</t>
  </si>
  <si>
    <t>Azure: Compute Description</t>
  </si>
  <si>
    <t>GCP Annual</t>
  </si>
  <si>
    <t>GCP Compute Description</t>
  </si>
  <si>
    <t>Azure: Licensing Description</t>
  </si>
  <si>
    <t>GCP Licensing Description</t>
  </si>
  <si>
    <t>UT License Description</t>
  </si>
  <si>
    <t>UT Support Description</t>
  </si>
  <si>
    <t>UT Compute Description</t>
  </si>
  <si>
    <t>UT Prices:</t>
  </si>
  <si>
    <t>UT Projected Costs: It is expected that most live services will not have implementation costs unless major
                                   upgrades are needed</t>
  </si>
  <si>
    <t>Cloud
Prices:</t>
  </si>
  <si>
    <t>AWS Cost Estimate</t>
  </si>
  <si>
    <t>Azure Cost Estimate</t>
  </si>
  <si>
    <t>Google Cost Estimate</t>
  </si>
  <si>
    <t>Decrease percentage</t>
  </si>
  <si>
    <t>Difference in percentage</t>
  </si>
  <si>
    <t>Cloud costs as percentage of on-prem costs</t>
  </si>
  <si>
    <t>On-prem costs as % of cloud costs</t>
  </si>
  <si>
    <t>Decrease in percentage</t>
  </si>
  <si>
    <t>Cloud Rubric Migration Score out of 100</t>
  </si>
  <si>
    <t>Out of 33 (higher score = more cloud savings)</t>
  </si>
  <si>
    <t>Minimum Cloud Costs</t>
  </si>
  <si>
    <t>Maximum Cloud Costs</t>
  </si>
  <si>
    <t>Average Cloud Costs</t>
  </si>
  <si>
    <t>Partial usage? (either in production or non-prod)</t>
  </si>
  <si>
    <t>4/6/2020, v1, original creation of cloud rubric</t>
  </si>
  <si>
    <t>(enter text here…)</t>
  </si>
  <si>
    <t>(after completing Cloud Rubric - Factor and Cloud Rubric - TCO Evaluation tabs, review this summary page and enter the recommendation here…)</t>
  </si>
  <si>
    <t>UT Description</t>
  </si>
  <si>
    <t>6/15/2020, v1.1, improved logic for proposed stated rows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</si>
</sst>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%"/>
    <numFmt numFmtId="165" formatCode="0.00000%"/>
    <numFmt numFmtId="166" formatCode="&quot;$&quot;#,##0.00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rgb="FF00B0F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3F3F76"/>
      <name val="Calibri"/>
      <family val="2"/>
      <scheme val="minor"/>
    </font>
    <font>
      <sz val="18"/>
      <color theme="3"/>
      <name val="Calibri Light"/>
      <family val="2"/>
      <scheme val="major"/>
    </font>
    <font>
      <sz val="34"/>
      <color rgb="FF44777B"/>
      <name val="Corbel"/>
      <family val="2"/>
    </font>
    <font>
      <sz val="34"/>
      <color theme="5" tint="-0.249977111117893"/>
      <name val="Corbel"/>
      <family val="2"/>
    </font>
    <font>
      <sz val="12"/>
      <color theme="5" tint="-0.249977111117893"/>
      <name val="Calibri"/>
      <family val="2"/>
      <scheme val="minor"/>
    </font>
    <font>
      <sz val="12"/>
      <color rgb="FF44777B"/>
      <name val="Calibri"/>
      <family val="2"/>
      <scheme val="minor"/>
    </font>
    <font>
      <sz val="16"/>
      <color theme="1"/>
      <name val="Calibri Light"/>
      <family val="2"/>
      <scheme val="major"/>
    </font>
    <font>
      <sz val="20"/>
      <color rgb="FF44777B"/>
      <name val="Corbel"/>
      <family val="2"/>
    </font>
    <font>
      <sz val="16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8"/>
      <color theme="4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theme="8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sz val="12"/>
      <color theme="8" tint="-0.249977111117893"/>
      <name val="Calibri"/>
      <family val="2"/>
      <scheme val="minor"/>
    </font>
    <font>
      <sz val="16"/>
      <color theme="5" tint="-0.249977111117893"/>
      <name val="Corbel"/>
      <family val="2"/>
    </font>
    <font>
      <sz val="16"/>
      <color theme="8" tint="-0.249977111117893"/>
      <name val="Corbel"/>
      <family val="2"/>
    </font>
    <font>
      <b/>
      <sz val="12"/>
      <color theme="5" tint="-0.249977111117893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7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9999"/>
        <bgColor indexed="64"/>
      </patternFill>
    </fill>
  </fills>
  <borders count="9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/>
      <diagonal/>
    </border>
    <border>
      <left style="thin">
        <color theme="0" tint="-0.249977111117893"/>
      </left>
      <right/>
      <top style="medium">
        <color theme="4" tint="0.3999755851924192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theme="0" tint="-0.14999847407452621"/>
      </left>
      <right/>
      <top style="medium">
        <color theme="0" tint="-0.14999847407452621"/>
      </top>
      <bottom/>
      <diagonal/>
    </border>
    <border>
      <left/>
      <right/>
      <top style="medium">
        <color theme="0" tint="-0.14999847407452621"/>
      </top>
      <bottom/>
      <diagonal/>
    </border>
    <border>
      <left/>
      <right style="medium">
        <color theme="0" tint="-0.14999847407452621"/>
      </right>
      <top style="medium">
        <color theme="0" tint="-0.14999847407452621"/>
      </top>
      <bottom/>
      <diagonal/>
    </border>
    <border>
      <left style="medium">
        <color theme="0" tint="-0.14999847407452621"/>
      </left>
      <right/>
      <top/>
      <bottom/>
      <diagonal/>
    </border>
    <border>
      <left/>
      <right style="medium">
        <color theme="0" tint="-0.14999847407452621"/>
      </right>
      <top/>
      <bottom/>
      <diagonal/>
    </border>
    <border>
      <left style="medium">
        <color theme="0" tint="-0.14999847407452621"/>
      </left>
      <right/>
      <top/>
      <bottom style="medium">
        <color theme="0" tint="-0.14999847407452621"/>
      </bottom>
      <diagonal/>
    </border>
    <border>
      <left/>
      <right/>
      <top/>
      <bottom style="medium">
        <color theme="0" tint="-0.14999847407452621"/>
      </bottom>
      <diagonal/>
    </border>
    <border>
      <left/>
      <right style="medium">
        <color theme="0" tint="-0.14999847407452621"/>
      </right>
      <top/>
      <bottom style="medium">
        <color theme="0" tint="-0.149998474074526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/>
      <bottom style="medium">
        <color theme="7" tint="-0.499984740745262"/>
      </bottom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/>
      <right/>
      <top/>
      <bottom style="medium">
        <color theme="7" tint="-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">
        <color theme="7" tint="-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499984740745262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49998474074526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499984740745262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theme="0" tint="-0.14999847407452621"/>
      </left>
      <right/>
      <top/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4" applyNumberFormat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6" fillId="0" borderId="33" applyNumberFormat="0" applyFill="0" applyAlignment="0" applyProtection="0"/>
    <xf numFmtId="0" fontId="21" fillId="14" borderId="4" applyNumberFormat="0" applyAlignment="0" applyProtection="0"/>
    <xf numFmtId="0" fontId="25" fillId="0" borderId="0" applyNumberFormat="0" applyFill="0" applyBorder="0" applyAlignment="0" applyProtection="0"/>
    <xf numFmtId="0" fontId="38" fillId="17" borderId="0" applyNumberFormat="0" applyBorder="0" applyAlignment="0" applyProtection="0"/>
  </cellStyleXfs>
  <cellXfs count="401">
    <xf numFmtId="0" fontId="0" fillId="0" borderId="0" xfId="0"/>
    <xf numFmtId="0" fontId="0" fillId="3" borderId="0" xfId="0" applyFill="1"/>
    <xf numFmtId="0" fontId="7" fillId="3" borderId="0" xfId="0" applyFont="1" applyFill="1"/>
    <xf numFmtId="10" fontId="0" fillId="3" borderId="0" xfId="0" applyNumberFormat="1" applyFill="1"/>
    <xf numFmtId="0" fontId="0" fillId="4" borderId="5" xfId="0" applyFill="1" applyBorder="1"/>
    <xf numFmtId="0" fontId="4" fillId="4" borderId="5" xfId="5" applyFill="1" applyBorder="1"/>
    <xf numFmtId="0" fontId="4" fillId="3" borderId="3" xfId="4" applyFill="1"/>
    <xf numFmtId="0" fontId="8" fillId="3" borderId="0" xfId="0" applyFont="1" applyFill="1"/>
    <xf numFmtId="0" fontId="0" fillId="4" borderId="7" xfId="0" applyFill="1" applyBorder="1"/>
    <xf numFmtId="0" fontId="0" fillId="4" borderId="0" xfId="0" applyFill="1"/>
    <xf numFmtId="0" fontId="4" fillId="3" borderId="3" xfId="4" applyFill="1" applyAlignment="1">
      <alignment horizontal="center" wrapText="1"/>
    </xf>
    <xf numFmtId="0" fontId="3" fillId="3" borderId="0" xfId="3" applyFill="1" applyBorder="1" applyAlignment="1">
      <alignment horizontal="left"/>
    </xf>
    <xf numFmtId="164" fontId="3" fillId="3" borderId="0" xfId="1" applyNumberFormat="1" applyFont="1" applyFill="1" applyAlignment="1">
      <alignment horizontal="left"/>
    </xf>
    <xf numFmtId="0" fontId="5" fillId="0" borderId="0" xfId="6" applyFill="1" applyBorder="1" applyAlignment="1">
      <alignment horizontal="left"/>
    </xf>
    <xf numFmtId="164" fontId="0" fillId="0" borderId="0" xfId="1" applyNumberFormat="1" applyFont="1"/>
    <xf numFmtId="0" fontId="10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10" fillId="3" borderId="0" xfId="0" applyFont="1" applyFill="1" applyAlignment="1">
      <alignment vertical="top"/>
    </xf>
    <xf numFmtId="0" fontId="10" fillId="0" borderId="13" xfId="0" applyFont="1" applyBorder="1" applyAlignment="1">
      <alignment vertical="top"/>
    </xf>
    <xf numFmtId="0" fontId="15" fillId="3" borderId="0" xfId="0" applyFont="1" applyFill="1"/>
    <xf numFmtId="0" fontId="13" fillId="3" borderId="0" xfId="0" applyFont="1" applyFill="1"/>
    <xf numFmtId="49" fontId="0" fillId="0" borderId="0" xfId="1" applyNumberFormat="1" applyFont="1" applyAlignment="1">
      <alignment horizontal="left" vertical="center" wrapText="1"/>
    </xf>
    <xf numFmtId="0" fontId="0" fillId="3" borderId="0" xfId="0" applyFill="1" applyAlignment="1">
      <alignment vertical="center"/>
    </xf>
    <xf numFmtId="0" fontId="0" fillId="0" borderId="0" xfId="0" applyAlignment="1">
      <alignment horizontal="left"/>
    </xf>
    <xf numFmtId="0" fontId="4" fillId="0" borderId="0" xfId="4" applyBorder="1"/>
    <xf numFmtId="0" fontId="0" fillId="3" borderId="0" xfId="0" applyFill="1" applyBorder="1"/>
    <xf numFmtId="165" fontId="0" fillId="3" borderId="0" xfId="0" applyNumberFormat="1" applyFill="1" applyBorder="1"/>
    <xf numFmtId="0" fontId="4" fillId="4" borderId="0" xfId="5" applyFill="1" applyBorder="1"/>
    <xf numFmtId="0" fontId="10" fillId="3" borderId="0" xfId="0" applyFont="1" applyFill="1" applyBorder="1" applyAlignment="1">
      <alignment horizontal="center" vertical="center" textRotation="90"/>
    </xf>
    <xf numFmtId="0" fontId="9" fillId="4" borderId="0" xfId="0" applyFont="1" applyFill="1" applyBorder="1"/>
    <xf numFmtId="0" fontId="0" fillId="3" borderId="22" xfId="0" applyFill="1" applyBorder="1"/>
    <xf numFmtId="0" fontId="0" fillId="3" borderId="25" xfId="0" applyFill="1" applyBorder="1"/>
    <xf numFmtId="0" fontId="0" fillId="3" borderId="26" xfId="0" applyFill="1" applyBorder="1"/>
    <xf numFmtId="0" fontId="8" fillId="3" borderId="26" xfId="0" applyFont="1" applyFill="1" applyBorder="1"/>
    <xf numFmtId="0" fontId="0" fillId="3" borderId="27" xfId="0" applyFill="1" applyBorder="1"/>
    <xf numFmtId="0" fontId="0" fillId="3" borderId="28" xfId="0" applyFill="1" applyBorder="1"/>
    <xf numFmtId="164" fontId="3" fillId="3" borderId="0" xfId="1" applyNumberFormat="1" applyFont="1" applyFill="1" applyBorder="1" applyAlignment="1">
      <alignment horizontal="left"/>
    </xf>
    <xf numFmtId="0" fontId="0" fillId="3" borderId="29" xfId="0" applyFill="1" applyBorder="1"/>
    <xf numFmtId="1" fontId="0" fillId="3" borderId="0" xfId="0" applyNumberFormat="1" applyFill="1" applyBorder="1"/>
    <xf numFmtId="10" fontId="0" fillId="3" borderId="0" xfId="0" applyNumberFormat="1" applyFill="1" applyBorder="1"/>
    <xf numFmtId="0" fontId="0" fillId="0" borderId="0" xfId="0" applyBorder="1"/>
    <xf numFmtId="0" fontId="4" fillId="3" borderId="3" xfId="4" applyFill="1" applyBorder="1"/>
    <xf numFmtId="0" fontId="12" fillId="3" borderId="3" xfId="4" applyFont="1" applyFill="1" applyBorder="1" applyAlignment="1">
      <alignment horizontal="center" wrapText="1"/>
    </xf>
    <xf numFmtId="0" fontId="4" fillId="3" borderId="3" xfId="4" applyFill="1" applyBorder="1" applyAlignment="1">
      <alignment horizontal="center"/>
    </xf>
    <xf numFmtId="0" fontId="4" fillId="3" borderId="3" xfId="4" applyFill="1" applyBorder="1" applyAlignment="1">
      <alignment wrapText="1"/>
    </xf>
    <xf numFmtId="0" fontId="0" fillId="3" borderId="0" xfId="0" applyFill="1" applyBorder="1" applyAlignment="1">
      <alignment horizontal="right"/>
    </xf>
    <xf numFmtId="0" fontId="11" fillId="3" borderId="0" xfId="7" applyFill="1" applyBorder="1"/>
    <xf numFmtId="0" fontId="0" fillId="3" borderId="30" xfId="0" applyFill="1" applyBorder="1"/>
    <xf numFmtId="0" fontId="0" fillId="3" borderId="31" xfId="0" applyFill="1" applyBorder="1"/>
    <xf numFmtId="0" fontId="0" fillId="3" borderId="32" xfId="0" applyFill="1" applyBorder="1"/>
    <xf numFmtId="0" fontId="10" fillId="0" borderId="0" xfId="0" applyFont="1"/>
    <xf numFmtId="0" fontId="10" fillId="0" borderId="0" xfId="0" applyFont="1" applyFill="1"/>
    <xf numFmtId="0" fontId="18" fillId="0" borderId="0" xfId="0" applyFont="1" applyFill="1" applyBorder="1" applyAlignment="1">
      <alignment horizontal="center" vertical="center"/>
    </xf>
    <xf numFmtId="0" fontId="10" fillId="4" borderId="0" xfId="0" applyFont="1" applyFill="1" applyBorder="1"/>
    <xf numFmtId="0" fontId="10" fillId="0" borderId="0" xfId="0" applyFont="1" applyFill="1" applyBorder="1"/>
    <xf numFmtId="44" fontId="5" fillId="2" borderId="4" xfId="6" applyNumberFormat="1"/>
    <xf numFmtId="0" fontId="0" fillId="0" borderId="0" xfId="0" applyAlignment="1">
      <alignment wrapText="1"/>
    </xf>
    <xf numFmtId="0" fontId="0" fillId="0" borderId="34" xfId="0" applyBorder="1"/>
    <xf numFmtId="0" fontId="0" fillId="0" borderId="35" xfId="0" applyBorder="1"/>
    <xf numFmtId="44" fontId="0" fillId="0" borderId="35" xfId="8" applyFont="1" applyBorder="1"/>
    <xf numFmtId="44" fontId="0" fillId="0" borderId="35" xfId="0" applyNumberFormat="1" applyBorder="1"/>
    <xf numFmtId="0" fontId="0" fillId="0" borderId="35" xfId="0" applyBorder="1" applyAlignment="1">
      <alignment horizontal="center"/>
    </xf>
    <xf numFmtId="44" fontId="0" fillId="0" borderId="43" xfId="8" applyFont="1" applyBorder="1"/>
    <xf numFmtId="0" fontId="0" fillId="0" borderId="42" xfId="0" applyBorder="1"/>
    <xf numFmtId="44" fontId="0" fillId="0" borderId="0" xfId="8" applyFont="1" applyBorder="1"/>
    <xf numFmtId="44" fontId="0" fillId="0" borderId="0" xfId="0" applyNumberFormat="1" applyBorder="1"/>
    <xf numFmtId="0" fontId="0" fillId="0" borderId="0" xfId="0" applyBorder="1" applyAlignment="1">
      <alignment horizontal="center"/>
    </xf>
    <xf numFmtId="44" fontId="0" fillId="0" borderId="41" xfId="8" applyFont="1" applyBorder="1"/>
    <xf numFmtId="0" fontId="0" fillId="0" borderId="36" xfId="0" applyBorder="1"/>
    <xf numFmtId="0" fontId="0" fillId="0" borderId="37" xfId="0" applyBorder="1"/>
    <xf numFmtId="44" fontId="0" fillId="0" borderId="37" xfId="8" applyFont="1" applyBorder="1"/>
    <xf numFmtId="44" fontId="0" fillId="0" borderId="37" xfId="0" applyNumberFormat="1" applyBorder="1"/>
    <xf numFmtId="0" fontId="0" fillId="0" borderId="37" xfId="0" applyBorder="1" applyAlignment="1">
      <alignment horizontal="center"/>
    </xf>
    <xf numFmtId="44" fontId="0" fillId="0" borderId="44" xfId="8" applyFont="1" applyBorder="1"/>
    <xf numFmtId="0" fontId="0" fillId="0" borderId="43" xfId="0" applyBorder="1"/>
    <xf numFmtId="0" fontId="0" fillId="0" borderId="41" xfId="0" applyBorder="1"/>
    <xf numFmtId="0" fontId="0" fillId="0" borderId="44" xfId="0" applyBorder="1"/>
    <xf numFmtId="0" fontId="0" fillId="0" borderId="0" xfId="0" applyFill="1" applyBorder="1"/>
    <xf numFmtId="166" fontId="16" fillId="12" borderId="33" xfId="9" applyNumberFormat="1" applyFont="1" applyFill="1"/>
    <xf numFmtId="0" fontId="10" fillId="10" borderId="0" xfId="0" applyFont="1" applyFill="1"/>
    <xf numFmtId="0" fontId="20" fillId="10" borderId="0" xfId="0" applyFont="1" applyFill="1" applyBorder="1" applyAlignment="1">
      <alignment horizontal="center" vertical="center"/>
    </xf>
    <xf numFmtId="44" fontId="5" fillId="10" borderId="0" xfId="6" applyNumberFormat="1" applyFill="1" applyBorder="1"/>
    <xf numFmtId="0" fontId="20" fillId="11" borderId="0" xfId="0" applyFont="1" applyFill="1" applyBorder="1" applyAlignment="1">
      <alignment horizontal="center" vertical="center"/>
    </xf>
    <xf numFmtId="0" fontId="10" fillId="11" borderId="0" xfId="0" applyFont="1" applyFill="1"/>
    <xf numFmtId="44" fontId="10" fillId="11" borderId="0" xfId="8" applyFont="1" applyFill="1" applyBorder="1"/>
    <xf numFmtId="4" fontId="10" fillId="11" borderId="0" xfId="0" applyNumberFormat="1" applyFont="1" applyFill="1" applyBorder="1"/>
    <xf numFmtId="44" fontId="10" fillId="11" borderId="0" xfId="8" applyFont="1" applyFill="1" applyBorder="1" applyAlignment="1">
      <alignment horizontal="center" vertical="top" wrapText="1"/>
    </xf>
    <xf numFmtId="44" fontId="5" fillId="11" borderId="0" xfId="6" applyNumberFormat="1" applyFill="1" applyBorder="1"/>
    <xf numFmtId="44" fontId="10" fillId="11" borderId="0" xfId="8" applyFont="1" applyFill="1" applyBorder="1" applyAlignment="1">
      <alignment vertical="top"/>
    </xf>
    <xf numFmtId="44" fontId="10" fillId="10" borderId="0" xfId="8" applyFont="1" applyFill="1" applyBorder="1"/>
    <xf numFmtId="4" fontId="10" fillId="10" borderId="0" xfId="0" applyNumberFormat="1" applyFont="1" applyFill="1" applyBorder="1"/>
    <xf numFmtId="166" fontId="5" fillId="10" borderId="0" xfId="6" applyNumberFormat="1" applyFill="1" applyBorder="1"/>
    <xf numFmtId="44" fontId="10" fillId="10" borderId="0" xfId="8" applyFont="1" applyFill="1" applyBorder="1" applyAlignment="1">
      <alignment horizontal="center" vertical="top" wrapText="1"/>
    </xf>
    <xf numFmtId="44" fontId="10" fillId="10" borderId="0" xfId="8" applyFont="1" applyFill="1" applyBorder="1" applyAlignment="1">
      <alignment vertical="top"/>
    </xf>
    <xf numFmtId="44" fontId="23" fillId="0" borderId="0" xfId="8" applyFont="1"/>
    <xf numFmtId="0" fontId="23" fillId="0" borderId="0" xfId="0" applyFont="1" applyAlignment="1">
      <alignment horizontal="right"/>
    </xf>
    <xf numFmtId="166" fontId="24" fillId="14" borderId="4" xfId="10" applyNumberFormat="1" applyFont="1"/>
    <xf numFmtId="0" fontId="10" fillId="3" borderId="0" xfId="0" applyFont="1" applyFill="1"/>
    <xf numFmtId="0" fontId="10" fillId="3" borderId="0" xfId="0" applyFont="1" applyFill="1" applyAlignment="1">
      <alignment horizontal="right"/>
    </xf>
    <xf numFmtId="166" fontId="16" fillId="3" borderId="0" xfId="9" applyNumberFormat="1" applyFont="1" applyFill="1" applyBorder="1"/>
    <xf numFmtId="44" fontId="22" fillId="3" borderId="0" xfId="0" applyNumberFormat="1" applyFont="1" applyFill="1"/>
    <xf numFmtId="0" fontId="10" fillId="3" borderId="0" xfId="0" applyFont="1" applyFill="1" applyAlignment="1">
      <alignment horizontal="left"/>
    </xf>
    <xf numFmtId="0" fontId="10" fillId="3" borderId="0" xfId="0" applyFont="1" applyFill="1" applyBorder="1"/>
    <xf numFmtId="3" fontId="10" fillId="3" borderId="0" xfId="0" applyNumberFormat="1" applyFont="1" applyFill="1"/>
    <xf numFmtId="44" fontId="10" fillId="3" borderId="0" xfId="8" applyFont="1" applyFill="1" applyBorder="1"/>
    <xf numFmtId="4" fontId="10" fillId="3" borderId="0" xfId="0" applyNumberFormat="1" applyFont="1" applyFill="1" applyBorder="1"/>
    <xf numFmtId="166" fontId="5" fillId="3" borderId="0" xfId="6" applyNumberFormat="1" applyFill="1" applyBorder="1"/>
    <xf numFmtId="44" fontId="10" fillId="3" borderId="0" xfId="8" applyFont="1" applyFill="1" applyBorder="1" applyAlignment="1">
      <alignment horizontal="center" vertical="top" wrapText="1"/>
    </xf>
    <xf numFmtId="44" fontId="5" fillId="3" borderId="0" xfId="6" applyNumberFormat="1" applyFill="1" applyBorder="1"/>
    <xf numFmtId="44" fontId="10" fillId="3" borderId="0" xfId="8" applyFont="1" applyFill="1" applyBorder="1" applyAlignment="1">
      <alignment vertical="top"/>
    </xf>
    <xf numFmtId="0" fontId="10" fillId="3" borderId="46" xfId="0" applyFont="1" applyFill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26" fillId="3" borderId="0" xfId="11" applyFont="1" applyFill="1" applyAlignment="1">
      <alignment horizontal="left" vertical="center" indent="1"/>
    </xf>
    <xf numFmtId="0" fontId="26" fillId="15" borderId="0" xfId="11" applyFont="1" applyFill="1" applyAlignment="1">
      <alignment horizontal="left" vertical="center" indent="1"/>
    </xf>
    <xf numFmtId="0" fontId="26" fillId="16" borderId="0" xfId="11" applyFont="1" applyFill="1" applyAlignment="1">
      <alignment horizontal="left" vertical="center" indent="1"/>
    </xf>
    <xf numFmtId="0" fontId="10" fillId="13" borderId="0" xfId="0" applyFont="1" applyFill="1"/>
    <xf numFmtId="0" fontId="26" fillId="0" borderId="0" xfId="11" applyFont="1" applyFill="1" applyAlignment="1">
      <alignment horizontal="left" vertical="center" indent="1"/>
    </xf>
    <xf numFmtId="0" fontId="27" fillId="8" borderId="0" xfId="11" applyFont="1" applyFill="1" applyAlignment="1">
      <alignment horizontal="center" vertical="center"/>
    </xf>
    <xf numFmtId="0" fontId="28" fillId="8" borderId="0" xfId="11" applyFont="1" applyFill="1" applyAlignment="1">
      <alignment horizontal="center" vertical="center"/>
    </xf>
    <xf numFmtId="0" fontId="29" fillId="16" borderId="0" xfId="11" applyFont="1" applyFill="1" applyAlignment="1">
      <alignment horizontal="left" vertical="center" indent="1"/>
    </xf>
    <xf numFmtId="0" fontId="18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/>
    </xf>
    <xf numFmtId="0" fontId="20" fillId="3" borderId="0" xfId="0" applyFont="1" applyFill="1" applyBorder="1" applyAlignment="1">
      <alignment horizontal="center" vertical="center"/>
    </xf>
    <xf numFmtId="0" fontId="31" fillId="3" borderId="0" xfId="11" applyFont="1" applyFill="1" applyAlignment="1">
      <alignment horizontal="center" vertical="center"/>
    </xf>
    <xf numFmtId="0" fontId="10" fillId="3" borderId="0" xfId="0" applyFont="1" applyFill="1" applyAlignment="1">
      <alignment horizontal="center"/>
    </xf>
    <xf numFmtId="0" fontId="32" fillId="3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30" fillId="3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 vertical="top" wrapText="1"/>
    </xf>
    <xf numFmtId="0" fontId="10" fillId="3" borderId="0" xfId="0" applyFont="1" applyFill="1" applyBorder="1" applyAlignment="1">
      <alignment vertical="top"/>
    </xf>
    <xf numFmtId="0" fontId="17" fillId="3" borderId="0" xfId="0" applyFont="1" applyFill="1" applyBorder="1" applyAlignment="1">
      <alignment vertical="center"/>
    </xf>
    <xf numFmtId="0" fontId="34" fillId="3" borderId="0" xfId="0" applyFont="1" applyFill="1" applyBorder="1" applyAlignment="1">
      <alignment horizontal="center" vertical="center"/>
    </xf>
    <xf numFmtId="0" fontId="34" fillId="3" borderId="0" xfId="0" applyFont="1" applyFill="1" applyBorder="1" applyAlignment="1">
      <alignment horizontal="left" vertical="center"/>
    </xf>
    <xf numFmtId="0" fontId="2" fillId="3" borderId="1" xfId="2" applyFill="1"/>
    <xf numFmtId="166" fontId="6" fillId="3" borderId="33" xfId="9" applyNumberFormat="1" applyFill="1"/>
    <xf numFmtId="0" fontId="35" fillId="3" borderId="47" xfId="0" applyFont="1" applyFill="1" applyBorder="1"/>
    <xf numFmtId="0" fontId="0" fillId="3" borderId="48" xfId="0" applyFill="1" applyBorder="1"/>
    <xf numFmtId="0" fontId="0" fillId="3" borderId="49" xfId="0" applyFill="1" applyBorder="1"/>
    <xf numFmtId="0" fontId="0" fillId="3" borderId="50" xfId="0" applyFill="1" applyBorder="1"/>
    <xf numFmtId="0" fontId="0" fillId="3" borderId="51" xfId="0" applyFill="1" applyBorder="1"/>
    <xf numFmtId="0" fontId="0" fillId="3" borderId="52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36" fillId="3" borderId="0" xfId="0" applyFont="1" applyFill="1" applyBorder="1"/>
    <xf numFmtId="0" fontId="0" fillId="3" borderId="53" xfId="0" applyFill="1" applyBorder="1"/>
    <xf numFmtId="0" fontId="0" fillId="3" borderId="54" xfId="0" applyFill="1" applyBorder="1"/>
    <xf numFmtId="0" fontId="0" fillId="3" borderId="55" xfId="0" applyFill="1" applyBorder="1"/>
    <xf numFmtId="49" fontId="37" fillId="3" borderId="0" xfId="0" applyNumberFormat="1" applyFont="1" applyFill="1" applyBorder="1"/>
    <xf numFmtId="0" fontId="0" fillId="3" borderId="56" xfId="0" applyFill="1" applyBorder="1" applyAlignment="1">
      <alignment horizontal="left"/>
    </xf>
    <xf numFmtId="49" fontId="6" fillId="3" borderId="0" xfId="0" applyNumberFormat="1" applyFont="1" applyFill="1" applyBorder="1"/>
    <xf numFmtId="49" fontId="0" fillId="3" borderId="0" xfId="0" applyNumberFormat="1" applyFill="1" applyBorder="1"/>
    <xf numFmtId="0" fontId="6" fillId="3" borderId="0" xfId="0" applyNumberFormat="1" applyFont="1" applyFill="1" applyBorder="1"/>
    <xf numFmtId="1" fontId="0" fillId="3" borderId="0" xfId="0" applyNumberFormat="1" applyFill="1" applyBorder="1" applyAlignment="1">
      <alignment horizontal="center"/>
    </xf>
    <xf numFmtId="0" fontId="35" fillId="3" borderId="60" xfId="0" applyFont="1" applyFill="1" applyBorder="1"/>
    <xf numFmtId="0" fontId="0" fillId="3" borderId="61" xfId="0" applyFill="1" applyBorder="1"/>
    <xf numFmtId="0" fontId="0" fillId="3" borderId="62" xfId="0" applyFill="1" applyBorder="1"/>
    <xf numFmtId="0" fontId="0" fillId="3" borderId="12" xfId="0" applyFill="1" applyBorder="1"/>
    <xf numFmtId="0" fontId="0" fillId="3" borderId="11" xfId="0" applyFill="1" applyBorder="1"/>
    <xf numFmtId="0" fontId="0" fillId="3" borderId="63" xfId="0" applyFill="1" applyBorder="1" applyAlignment="1">
      <alignment horizontal="left"/>
    </xf>
    <xf numFmtId="0" fontId="0" fillId="3" borderId="11" xfId="0" applyFill="1" applyBorder="1" applyAlignment="1">
      <alignment horizontal="center"/>
    </xf>
    <xf numFmtId="0" fontId="0" fillId="6" borderId="12" xfId="0" applyFill="1" applyBorder="1" applyAlignment="1">
      <alignment horizontal="right"/>
    </xf>
    <xf numFmtId="1" fontId="0" fillId="3" borderId="11" xfId="0" applyNumberFormat="1" applyFill="1" applyBorder="1" applyAlignment="1">
      <alignment horizontal="center"/>
    </xf>
    <xf numFmtId="0" fontId="0" fillId="3" borderId="12" xfId="0" applyFill="1" applyBorder="1" applyAlignment="1">
      <alignment horizontal="right"/>
    </xf>
    <xf numFmtId="0" fontId="0" fillId="3" borderId="10" xfId="0" applyFill="1" applyBorder="1"/>
    <xf numFmtId="0" fontId="0" fillId="3" borderId="9" xfId="0" applyFill="1" applyBorder="1"/>
    <xf numFmtId="0" fontId="0" fillId="3" borderId="8" xfId="0" applyFill="1" applyBorder="1"/>
    <xf numFmtId="0" fontId="0" fillId="0" borderId="0" xfId="0" applyNumberFormat="1"/>
    <xf numFmtId="164" fontId="0" fillId="0" borderId="0" xfId="1" applyNumberFormat="1" applyFont="1" applyBorder="1"/>
    <xf numFmtId="164" fontId="0" fillId="3" borderId="59" xfId="1" applyNumberFormat="1" applyFont="1" applyFill="1" applyBorder="1" applyAlignment="1">
      <alignment horizontal="left"/>
    </xf>
    <xf numFmtId="164" fontId="0" fillId="3" borderId="0" xfId="1" applyNumberFormat="1" applyFont="1" applyFill="1" applyBorder="1" applyAlignment="1">
      <alignment horizontal="left"/>
    </xf>
    <xf numFmtId="164" fontId="0" fillId="0" borderId="0" xfId="1" applyNumberFormat="1" applyFont="1" applyFill="1" applyBorder="1" applyAlignment="1">
      <alignment horizontal="left"/>
    </xf>
    <xf numFmtId="164" fontId="0" fillId="6" borderId="59" xfId="1" applyNumberFormat="1" applyFont="1" applyFill="1" applyBorder="1" applyAlignment="1">
      <alignment horizontal="left"/>
    </xf>
    <xf numFmtId="0" fontId="35" fillId="3" borderId="61" xfId="0" applyFont="1" applyFill="1" applyBorder="1"/>
    <xf numFmtId="0" fontId="35" fillId="3" borderId="48" xfId="0" applyFont="1" applyFill="1" applyBorder="1"/>
    <xf numFmtId="44" fontId="0" fillId="0" borderId="0" xfId="8" applyFont="1"/>
    <xf numFmtId="164" fontId="0" fillId="6" borderId="65" xfId="1" applyNumberFormat="1" applyFont="1" applyFill="1" applyBorder="1" applyAlignment="1">
      <alignment horizontal="left"/>
    </xf>
    <xf numFmtId="44" fontId="0" fillId="3" borderId="45" xfId="8" applyFont="1" applyFill="1" applyBorder="1" applyAlignment="1">
      <alignment horizontal="left"/>
    </xf>
    <xf numFmtId="44" fontId="0" fillId="0" borderId="45" xfId="8" applyFont="1" applyBorder="1"/>
    <xf numFmtId="44" fontId="5" fillId="2" borderId="4" xfId="6" applyNumberFormat="1" applyAlignment="1">
      <alignment horizontal="left"/>
    </xf>
    <xf numFmtId="164" fontId="0" fillId="3" borderId="0" xfId="1" applyNumberFormat="1" applyFont="1" applyFill="1" applyBorder="1"/>
    <xf numFmtId="0" fontId="4" fillId="0" borderId="3" xfId="4" applyAlignment="1">
      <alignment wrapText="1"/>
    </xf>
    <xf numFmtId="0" fontId="0" fillId="0" borderId="34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1" xfId="0" applyBorder="1" applyAlignment="1">
      <alignment horizontal="left"/>
    </xf>
    <xf numFmtId="0" fontId="38" fillId="17" borderId="0" xfId="12"/>
    <xf numFmtId="164" fontId="0" fillId="6" borderId="65" xfId="1" applyNumberFormat="1" applyFont="1" applyFill="1" applyBorder="1" applyAlignment="1">
      <alignment horizontal="center"/>
    </xf>
    <xf numFmtId="49" fontId="0" fillId="3" borderId="0" xfId="0" applyNumberFormat="1" applyFill="1" applyBorder="1" applyAlignment="1">
      <alignment horizontal="center"/>
    </xf>
    <xf numFmtId="0" fontId="0" fillId="6" borderId="12" xfId="0" applyFill="1" applyBorder="1" applyAlignment="1">
      <alignment horizontal="right" vertical="top" wrapText="1"/>
    </xf>
    <xf numFmtId="0" fontId="2" fillId="3" borderId="1" xfId="2" applyFill="1" applyAlignment="1">
      <alignment horizontal="left"/>
    </xf>
    <xf numFmtId="39" fontId="0" fillId="0" borderId="0" xfId="8" applyNumberFormat="1" applyFont="1"/>
    <xf numFmtId="2" fontId="0" fillId="0" borderId="0" xfId="0" applyNumberFormat="1"/>
    <xf numFmtId="2" fontId="0" fillId="0" borderId="0" xfId="8" applyNumberFormat="1" applyFont="1"/>
    <xf numFmtId="2" fontId="0" fillId="3" borderId="0" xfId="0" applyNumberFormat="1" applyFill="1" applyBorder="1" applyAlignment="1">
      <alignment horizontal="right"/>
    </xf>
    <xf numFmtId="0" fontId="0" fillId="6" borderId="0" xfId="0" applyFill="1" applyBorder="1" applyAlignment="1">
      <alignment horizontal="right"/>
    </xf>
    <xf numFmtId="1" fontId="10" fillId="3" borderId="0" xfId="0" applyNumberFormat="1" applyFont="1" applyFill="1" applyBorder="1" applyAlignment="1">
      <alignment horizontal="left"/>
    </xf>
    <xf numFmtId="2" fontId="10" fillId="0" borderId="0" xfId="0" applyNumberFormat="1" applyFont="1" applyAlignment="1">
      <alignment horizontal="right"/>
    </xf>
    <xf numFmtId="2" fontId="0" fillId="3" borderId="14" xfId="1" applyNumberFormat="1" applyFont="1" applyFill="1" applyBorder="1" applyAlignment="1">
      <alignment horizontal="right"/>
    </xf>
    <xf numFmtId="2" fontId="0" fillId="3" borderId="15" xfId="0" applyNumberFormat="1" applyFill="1" applyBorder="1"/>
    <xf numFmtId="0" fontId="10" fillId="3" borderId="0" xfId="0" applyFont="1" applyFill="1" applyBorder="1" applyAlignment="1">
      <alignment horizontal="left"/>
    </xf>
    <xf numFmtId="0" fontId="0" fillId="5" borderId="0" xfId="0" applyFill="1" applyBorder="1"/>
    <xf numFmtId="0" fontId="36" fillId="3" borderId="0" xfId="0" applyFont="1" applyFill="1" applyBorder="1" applyAlignment="1">
      <alignment vertical="top"/>
    </xf>
    <xf numFmtId="166" fontId="5" fillId="2" borderId="70" xfId="6" applyNumberFormat="1" applyBorder="1"/>
    <xf numFmtId="0" fontId="10" fillId="5" borderId="45" xfId="0" applyFont="1" applyFill="1" applyBorder="1"/>
    <xf numFmtId="3" fontId="10" fillId="5" borderId="45" xfId="0" applyNumberFormat="1" applyFont="1" applyFill="1" applyBorder="1"/>
    <xf numFmtId="44" fontId="10" fillId="5" borderId="45" xfId="8" applyFont="1" applyFill="1" applyBorder="1"/>
    <xf numFmtId="0" fontId="10" fillId="5" borderId="45" xfId="0" applyFont="1" applyFill="1" applyBorder="1" applyAlignment="1">
      <alignment horizontal="left" vertical="top" wrapText="1"/>
    </xf>
    <xf numFmtId="0" fontId="10" fillId="5" borderId="45" xfId="0" applyFont="1" applyFill="1" applyBorder="1" applyAlignment="1">
      <alignment vertical="top"/>
    </xf>
    <xf numFmtId="0" fontId="10" fillId="5" borderId="45" xfId="0" applyFont="1" applyFill="1" applyBorder="1" applyAlignment="1">
      <alignment wrapText="1"/>
    </xf>
    <xf numFmtId="3" fontId="10" fillId="5" borderId="45" xfId="0" applyNumberFormat="1" applyFont="1" applyFill="1" applyBorder="1" applyAlignment="1">
      <alignment vertical="top"/>
    </xf>
    <xf numFmtId="44" fontId="10" fillId="5" borderId="45" xfId="8" applyFont="1" applyFill="1" applyBorder="1" applyAlignment="1">
      <alignment vertical="top"/>
    </xf>
    <xf numFmtId="4" fontId="10" fillId="5" borderId="45" xfId="0" applyNumberFormat="1" applyFont="1" applyFill="1" applyBorder="1"/>
    <xf numFmtId="44" fontId="5" fillId="2" borderId="70" xfId="6" applyNumberFormat="1" applyBorder="1"/>
    <xf numFmtId="0" fontId="10" fillId="5" borderId="45" xfId="0" applyFont="1" applyFill="1" applyBorder="1" applyAlignment="1">
      <alignment vertical="top" wrapText="1"/>
    </xf>
    <xf numFmtId="44" fontId="10" fillId="5" borderId="45" xfId="8" applyFont="1" applyFill="1" applyBorder="1" applyAlignment="1">
      <alignment horizontal="left" vertical="top" wrapText="1"/>
    </xf>
    <xf numFmtId="44" fontId="10" fillId="5" borderId="45" xfId="8" applyFont="1" applyFill="1" applyBorder="1" applyAlignment="1">
      <alignment horizontal="center" vertical="top" wrapText="1"/>
    </xf>
    <xf numFmtId="44" fontId="5" fillId="2" borderId="16" xfId="6" applyNumberFormat="1" applyBorder="1"/>
    <xf numFmtId="0" fontId="4" fillId="3" borderId="0" xfId="4" applyFill="1" applyBorder="1" applyAlignment="1">
      <alignment horizontal="left"/>
    </xf>
    <xf numFmtId="0" fontId="37" fillId="3" borderId="0" xfId="0" applyFont="1" applyFill="1"/>
    <xf numFmtId="0" fontId="10" fillId="0" borderId="0" xfId="0" applyFont="1" applyAlignment="1">
      <alignment wrapText="1"/>
    </xf>
    <xf numFmtId="0" fontId="22" fillId="4" borderId="0" xfId="0" applyFont="1" applyFill="1" applyBorder="1"/>
    <xf numFmtId="0" fontId="42" fillId="3" borderId="17" xfId="0" applyFont="1" applyFill="1" applyBorder="1"/>
    <xf numFmtId="10" fontId="42" fillId="3" borderId="17" xfId="1" applyNumberFormat="1" applyFont="1" applyFill="1" applyBorder="1" applyAlignment="1">
      <alignment horizontal="left"/>
    </xf>
    <xf numFmtId="49" fontId="43" fillId="5" borderId="17" xfId="1" applyNumberFormat="1" applyFont="1" applyFill="1" applyBorder="1" applyAlignment="1" applyProtection="1">
      <alignment horizontal="center"/>
      <protection locked="0"/>
    </xf>
    <xf numFmtId="10" fontId="43" fillId="3" borderId="17" xfId="1" applyNumberFormat="1" applyFont="1" applyFill="1" applyBorder="1"/>
    <xf numFmtId="4" fontId="10" fillId="3" borderId="17" xfId="0" applyNumberFormat="1" applyFont="1" applyFill="1" applyBorder="1"/>
    <xf numFmtId="3" fontId="10" fillId="3" borderId="17" xfId="0" applyNumberFormat="1" applyFont="1" applyFill="1" applyBorder="1"/>
    <xf numFmtId="49" fontId="43" fillId="5" borderId="17" xfId="0" applyNumberFormat="1" applyFont="1" applyFill="1" applyBorder="1" applyAlignment="1" applyProtection="1">
      <alignment horizontal="center"/>
      <protection locked="0"/>
    </xf>
    <xf numFmtId="0" fontId="42" fillId="3" borderId="66" xfId="0" applyFont="1" applyFill="1" applyBorder="1"/>
    <xf numFmtId="10" fontId="42" fillId="3" borderId="66" xfId="1" applyNumberFormat="1" applyFont="1" applyFill="1" applyBorder="1" applyAlignment="1">
      <alignment horizontal="left"/>
    </xf>
    <xf numFmtId="49" fontId="43" fillId="5" borderId="66" xfId="0" applyNumberFormat="1" applyFont="1" applyFill="1" applyBorder="1" applyAlignment="1" applyProtection="1">
      <alignment horizontal="center"/>
      <protection locked="0"/>
    </xf>
    <xf numFmtId="10" fontId="43" fillId="3" borderId="66" xfId="1" applyNumberFormat="1" applyFont="1" applyFill="1" applyBorder="1"/>
    <xf numFmtId="4" fontId="10" fillId="3" borderId="66" xfId="0" applyNumberFormat="1" applyFont="1" applyFill="1" applyBorder="1"/>
    <xf numFmtId="0" fontId="44" fillId="3" borderId="19" xfId="0" applyFont="1" applyFill="1" applyBorder="1"/>
    <xf numFmtId="10" fontId="44" fillId="3" borderId="19" xfId="1" applyNumberFormat="1" applyFont="1" applyFill="1" applyBorder="1" applyAlignment="1">
      <alignment horizontal="left"/>
    </xf>
    <xf numFmtId="49" fontId="43" fillId="5" borderId="19" xfId="0" applyNumberFormat="1" applyFont="1" applyFill="1" applyBorder="1" applyAlignment="1" applyProtection="1">
      <alignment horizontal="center"/>
      <protection locked="0"/>
    </xf>
    <xf numFmtId="10" fontId="43" fillId="3" borderId="19" xfId="1" applyNumberFormat="1" applyFont="1" applyFill="1" applyBorder="1"/>
    <xf numFmtId="4" fontId="10" fillId="3" borderId="19" xfId="0" applyNumberFormat="1" applyFont="1" applyFill="1" applyBorder="1"/>
    <xf numFmtId="0" fontId="44" fillId="3" borderId="17" xfId="0" applyFont="1" applyFill="1" applyBorder="1"/>
    <xf numFmtId="10" fontId="44" fillId="3" borderId="17" xfId="1" applyNumberFormat="1" applyFont="1" applyFill="1" applyBorder="1" applyAlignment="1">
      <alignment horizontal="left"/>
    </xf>
    <xf numFmtId="0" fontId="44" fillId="3" borderId="66" xfId="0" applyFont="1" applyFill="1" applyBorder="1"/>
    <xf numFmtId="10" fontId="44" fillId="3" borderId="66" xfId="1" applyNumberFormat="1" applyFont="1" applyFill="1" applyBorder="1" applyAlignment="1">
      <alignment horizontal="left"/>
    </xf>
    <xf numFmtId="0" fontId="10" fillId="3" borderId="19" xfId="0" applyFont="1" applyFill="1" applyBorder="1"/>
    <xf numFmtId="10" fontId="10" fillId="3" borderId="19" xfId="1" applyNumberFormat="1" applyFont="1" applyFill="1" applyBorder="1" applyAlignment="1">
      <alignment horizontal="left"/>
    </xf>
    <xf numFmtId="0" fontId="10" fillId="3" borderId="17" xfId="0" applyFont="1" applyFill="1" applyBorder="1"/>
    <xf numFmtId="0" fontId="10" fillId="3" borderId="18" xfId="0" applyFont="1" applyFill="1" applyBorder="1"/>
    <xf numFmtId="49" fontId="43" fillId="0" borderId="18" xfId="1" applyNumberFormat="1" applyFont="1" applyFill="1" applyBorder="1" applyAlignment="1" applyProtection="1">
      <alignment horizontal="center"/>
      <protection locked="0"/>
    </xf>
    <xf numFmtId="10" fontId="43" fillId="3" borderId="18" xfId="1" applyNumberFormat="1" applyFont="1" applyFill="1" applyBorder="1"/>
    <xf numFmtId="4" fontId="10" fillId="3" borderId="18" xfId="0" applyNumberFormat="1" applyFont="1" applyFill="1" applyBorder="1"/>
    <xf numFmtId="0" fontId="12" fillId="4" borderId="7" xfId="5" applyFont="1" applyFill="1" applyBorder="1"/>
    <xf numFmtId="0" fontId="10" fillId="4" borderId="7" xfId="0" applyFont="1" applyFill="1" applyBorder="1"/>
    <xf numFmtId="0" fontId="10" fillId="4" borderId="6" xfId="0" applyFont="1" applyFill="1" applyBorder="1"/>
    <xf numFmtId="0" fontId="14" fillId="3" borderId="0" xfId="0" applyFont="1" applyFill="1" applyBorder="1"/>
    <xf numFmtId="0" fontId="14" fillId="3" borderId="0" xfId="0" applyFont="1" applyFill="1" applyBorder="1" applyAlignment="1">
      <alignment horizontal="center"/>
    </xf>
    <xf numFmtId="1" fontId="43" fillId="3" borderId="0" xfId="0" applyNumberFormat="1" applyFont="1" applyFill="1" applyBorder="1" applyAlignment="1">
      <alignment horizontal="center"/>
    </xf>
    <xf numFmtId="10" fontId="43" fillId="3" borderId="0" xfId="0" applyNumberFormat="1" applyFont="1" applyFill="1" applyBorder="1"/>
    <xf numFmtId="0" fontId="12" fillId="3" borderId="3" xfId="4" applyFont="1" applyFill="1" applyBorder="1" applyAlignment="1">
      <alignment horizontal="left"/>
    </xf>
    <xf numFmtId="0" fontId="12" fillId="4" borderId="5" xfId="5" applyFont="1" applyFill="1" applyBorder="1"/>
    <xf numFmtId="0" fontId="10" fillId="3" borderId="23" xfId="0" applyFont="1" applyFill="1" applyBorder="1"/>
    <xf numFmtId="49" fontId="10" fillId="5" borderId="23" xfId="1" applyNumberFormat="1" applyFont="1" applyFill="1" applyBorder="1" applyAlignment="1">
      <alignment horizontal="left"/>
    </xf>
    <xf numFmtId="0" fontId="10" fillId="3" borderId="23" xfId="0" applyFont="1" applyFill="1" applyBorder="1" applyAlignment="1">
      <alignment vertical="top"/>
    </xf>
    <xf numFmtId="49" fontId="10" fillId="5" borderId="23" xfId="1" applyNumberFormat="1" applyFont="1" applyFill="1" applyBorder="1" applyAlignment="1">
      <alignment horizontal="left" wrapText="1"/>
    </xf>
    <xf numFmtId="0" fontId="10" fillId="3" borderId="67" xfId="0" applyFont="1" applyFill="1" applyBorder="1" applyAlignment="1">
      <alignment vertical="top"/>
    </xf>
    <xf numFmtId="49" fontId="10" fillId="5" borderId="67" xfId="1" applyNumberFormat="1" applyFont="1" applyFill="1" applyBorder="1" applyAlignment="1">
      <alignment horizontal="left" wrapText="1"/>
    </xf>
    <xf numFmtId="0" fontId="10" fillId="3" borderId="24" xfId="0" applyFont="1" applyFill="1" applyBorder="1" applyAlignment="1">
      <alignment vertical="top"/>
    </xf>
    <xf numFmtId="49" fontId="10" fillId="5" borderId="24" xfId="1" applyNumberFormat="1" applyFont="1" applyFill="1" applyBorder="1" applyAlignment="1">
      <alignment horizontal="left" wrapText="1"/>
    </xf>
    <xf numFmtId="49" fontId="10" fillId="5" borderId="67" xfId="1" applyNumberFormat="1" applyFont="1" applyFill="1" applyBorder="1" applyAlignment="1">
      <alignment horizontal="left" vertical="top" wrapText="1"/>
    </xf>
    <xf numFmtId="0" fontId="10" fillId="9" borderId="21" xfId="0" applyFont="1" applyFill="1" applyBorder="1" applyAlignment="1">
      <alignment horizontal="center" vertical="center" textRotation="90"/>
    </xf>
    <xf numFmtId="0" fontId="10" fillId="3" borderId="24" xfId="0" applyFont="1" applyFill="1" applyBorder="1"/>
    <xf numFmtId="49" fontId="10" fillId="5" borderId="24" xfId="1" applyNumberFormat="1" applyFont="1" applyFill="1" applyBorder="1" applyAlignment="1">
      <alignment horizontal="left"/>
    </xf>
    <xf numFmtId="0" fontId="10" fillId="9" borderId="24" xfId="0" applyFont="1" applyFill="1" applyBorder="1" applyAlignment="1">
      <alignment horizontal="center" vertical="center" textRotation="90"/>
    </xf>
    <xf numFmtId="14" fontId="10" fillId="5" borderId="23" xfId="1" applyNumberFormat="1" applyFont="1" applyFill="1" applyBorder="1" applyAlignment="1">
      <alignment horizontal="left"/>
    </xf>
    <xf numFmtId="0" fontId="41" fillId="3" borderId="0" xfId="0" applyFont="1" applyFill="1" applyBorder="1"/>
    <xf numFmtId="0" fontId="45" fillId="16" borderId="0" xfId="0" applyFont="1" applyFill="1" applyBorder="1" applyAlignment="1">
      <alignment horizontal="left" vertical="center" wrapText="1"/>
    </xf>
    <xf numFmtId="0" fontId="11" fillId="3" borderId="0" xfId="7" applyFill="1"/>
    <xf numFmtId="0" fontId="25" fillId="3" borderId="0" xfId="11" applyFill="1" applyAlignment="1">
      <alignment horizontal="left"/>
    </xf>
    <xf numFmtId="0" fontId="0" fillId="18" borderId="52" xfId="0" applyFill="1" applyBorder="1" applyAlignment="1">
      <alignment horizontal="left"/>
    </xf>
    <xf numFmtId="0" fontId="0" fillId="18" borderId="0" xfId="0" applyFill="1" applyBorder="1" applyAlignment="1">
      <alignment horizontal="left"/>
    </xf>
    <xf numFmtId="0" fontId="4" fillId="18" borderId="0" xfId="4" applyFill="1" applyBorder="1" applyAlignment="1">
      <alignment horizontal="center" vertical="center"/>
    </xf>
    <xf numFmtId="0" fontId="4" fillId="18" borderId="0" xfId="4" applyFill="1" applyBorder="1" applyAlignment="1">
      <alignment horizontal="right"/>
    </xf>
    <xf numFmtId="0" fontId="4" fillId="0" borderId="0" xfId="4" applyFill="1" applyBorder="1" applyAlignment="1">
      <alignment horizontal="right"/>
    </xf>
    <xf numFmtId="0" fontId="4" fillId="3" borderId="0" xfId="4" applyFill="1" applyBorder="1" applyAlignment="1">
      <alignment horizontal="right"/>
    </xf>
    <xf numFmtId="0" fontId="28" fillId="8" borderId="37" xfId="0" applyFont="1" applyFill="1" applyBorder="1" applyAlignment="1">
      <alignment horizontal="left" vertical="center" wrapText="1"/>
    </xf>
    <xf numFmtId="0" fontId="39" fillId="16" borderId="0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44" fontId="10" fillId="16" borderId="0" xfId="8" applyFont="1" applyFill="1" applyBorder="1" applyAlignment="1">
      <alignment horizontal="center" vertical="center" wrapText="1"/>
    </xf>
    <xf numFmtId="44" fontId="10" fillId="19" borderId="0" xfId="8" applyFont="1" applyFill="1" applyBorder="1" applyAlignment="1">
      <alignment horizontal="center" vertical="center" wrapText="1"/>
    </xf>
    <xf numFmtId="44" fontId="10" fillId="20" borderId="0" xfId="8" applyFont="1" applyFill="1" applyBorder="1" applyAlignment="1">
      <alignment horizontal="center" vertical="center" wrapText="1"/>
    </xf>
    <xf numFmtId="0" fontId="10" fillId="5" borderId="73" xfId="0" applyFont="1" applyFill="1" applyBorder="1"/>
    <xf numFmtId="0" fontId="10" fillId="5" borderId="75" xfId="0" applyFont="1" applyFill="1" applyBorder="1"/>
    <xf numFmtId="0" fontId="10" fillId="5" borderId="77" xfId="0" applyFont="1" applyFill="1" applyBorder="1"/>
    <xf numFmtId="0" fontId="10" fillId="5" borderId="78" xfId="0" applyFont="1" applyFill="1" applyBorder="1"/>
    <xf numFmtId="0" fontId="10" fillId="5" borderId="79" xfId="0" applyFont="1" applyFill="1" applyBorder="1"/>
    <xf numFmtId="0" fontId="10" fillId="5" borderId="80" xfId="0" applyFont="1" applyFill="1" applyBorder="1"/>
    <xf numFmtId="0" fontId="10" fillId="5" borderId="81" xfId="0" applyFont="1" applyFill="1" applyBorder="1"/>
    <xf numFmtId="44" fontId="10" fillId="5" borderId="82" xfId="8" applyFont="1" applyFill="1" applyBorder="1"/>
    <xf numFmtId="0" fontId="10" fillId="5" borderId="83" xfId="0" applyFont="1" applyFill="1" applyBorder="1"/>
    <xf numFmtId="44" fontId="10" fillId="5" borderId="84" xfId="8" applyFont="1" applyFill="1" applyBorder="1"/>
    <xf numFmtId="44" fontId="10" fillId="5" borderId="85" xfId="8" applyNumberFormat="1" applyFont="1" applyFill="1" applyBorder="1"/>
    <xf numFmtId="44" fontId="10" fillId="5" borderId="86" xfId="8" applyFont="1" applyFill="1" applyBorder="1"/>
    <xf numFmtId="44" fontId="10" fillId="5" borderId="85" xfId="8" applyFont="1" applyFill="1" applyBorder="1"/>
    <xf numFmtId="4" fontId="10" fillId="5" borderId="85" xfId="0" applyNumberFormat="1" applyFont="1" applyFill="1" applyBorder="1"/>
    <xf numFmtId="4" fontId="10" fillId="5" borderId="87" xfId="0" applyNumberFormat="1" applyFont="1" applyFill="1" applyBorder="1"/>
    <xf numFmtId="0" fontId="10" fillId="5" borderId="88" xfId="0" applyFont="1" applyFill="1" applyBorder="1"/>
    <xf numFmtId="4" fontId="10" fillId="5" borderId="88" xfId="0" applyNumberFormat="1" applyFont="1" applyFill="1" applyBorder="1"/>
    <xf numFmtId="44" fontId="10" fillId="5" borderId="89" xfId="8" applyFont="1" applyFill="1" applyBorder="1"/>
    <xf numFmtId="0" fontId="10" fillId="22" borderId="0" xfId="0" applyFont="1" applyFill="1"/>
    <xf numFmtId="44" fontId="10" fillId="5" borderId="74" xfId="8" applyFont="1" applyFill="1" applyBorder="1"/>
    <xf numFmtId="44" fontId="10" fillId="5" borderId="77" xfId="8" applyFont="1" applyFill="1" applyBorder="1"/>
    <xf numFmtId="44" fontId="10" fillId="5" borderId="76" xfId="8" applyFont="1" applyFill="1" applyBorder="1"/>
    <xf numFmtId="44" fontId="10" fillId="5" borderId="78" xfId="8" applyFont="1" applyFill="1" applyBorder="1"/>
    <xf numFmtId="44" fontId="10" fillId="5" borderId="82" xfId="8" applyFont="1" applyFill="1" applyBorder="1" applyAlignment="1">
      <alignment vertical="top"/>
    </xf>
    <xf numFmtId="0" fontId="10" fillId="5" borderId="83" xfId="0" applyFont="1" applyFill="1" applyBorder="1" applyAlignment="1">
      <alignment vertical="top"/>
    </xf>
    <xf numFmtId="44" fontId="10" fillId="5" borderId="84" xfId="8" applyFont="1" applyFill="1" applyBorder="1" applyAlignment="1">
      <alignment vertical="top"/>
    </xf>
    <xf numFmtId="44" fontId="10" fillId="5" borderId="87" xfId="8" applyFont="1" applyFill="1" applyBorder="1" applyAlignment="1">
      <alignment vertical="top"/>
    </xf>
    <xf numFmtId="0" fontId="10" fillId="5" borderId="88" xfId="0" applyFont="1" applyFill="1" applyBorder="1" applyAlignment="1">
      <alignment vertical="top"/>
    </xf>
    <xf numFmtId="44" fontId="10" fillId="5" borderId="89" xfId="8" applyFont="1" applyFill="1" applyBorder="1" applyAlignment="1">
      <alignment vertical="top"/>
    </xf>
    <xf numFmtId="0" fontId="10" fillId="5" borderId="93" xfId="0" applyFont="1" applyFill="1" applyBorder="1" applyAlignment="1">
      <alignment horizontal="left" vertical="top" wrapText="1"/>
    </xf>
    <xf numFmtId="0" fontId="10" fillId="5" borderId="94" xfId="0" applyFont="1" applyFill="1" applyBorder="1" applyAlignment="1">
      <alignment horizontal="left" vertical="top" wrapText="1"/>
    </xf>
    <xf numFmtId="44" fontId="10" fillId="5" borderId="74" xfId="8" applyFont="1" applyFill="1" applyBorder="1" applyAlignment="1">
      <alignment vertical="top"/>
    </xf>
    <xf numFmtId="0" fontId="10" fillId="5" borderId="75" xfId="0" applyFont="1" applyFill="1" applyBorder="1" applyAlignment="1">
      <alignment horizontal="left" vertical="top" wrapText="1"/>
    </xf>
    <xf numFmtId="0" fontId="10" fillId="5" borderId="76" xfId="0" applyFont="1" applyFill="1" applyBorder="1" applyAlignment="1">
      <alignment vertical="top"/>
    </xf>
    <xf numFmtId="44" fontId="10" fillId="5" borderId="79" xfId="8" applyFont="1" applyFill="1" applyBorder="1" applyAlignment="1">
      <alignment vertical="top"/>
    </xf>
    <xf numFmtId="0" fontId="10" fillId="5" borderId="80" xfId="0" applyFont="1" applyFill="1" applyBorder="1" applyAlignment="1">
      <alignment horizontal="left" vertical="top" wrapText="1"/>
    </xf>
    <xf numFmtId="0" fontId="10" fillId="5" borderId="81" xfId="0" applyFont="1" applyFill="1" applyBorder="1" applyAlignment="1">
      <alignment vertical="top"/>
    </xf>
    <xf numFmtId="0" fontId="10" fillId="21" borderId="0" xfId="0" applyFont="1" applyFill="1"/>
    <xf numFmtId="0" fontId="10" fillId="23" borderId="0" xfId="0" applyFont="1" applyFill="1"/>
    <xf numFmtId="44" fontId="10" fillId="5" borderId="90" xfId="8" applyFont="1" applyFill="1" applyBorder="1" applyAlignment="1">
      <alignment horizontal="left" vertical="top"/>
    </xf>
    <xf numFmtId="3" fontId="10" fillId="5" borderId="91" xfId="0" applyNumberFormat="1" applyFont="1" applyFill="1" applyBorder="1" applyAlignment="1">
      <alignment horizontal="left" vertical="top" wrapText="1"/>
    </xf>
    <xf numFmtId="0" fontId="10" fillId="5" borderId="75" xfId="0" applyFont="1" applyFill="1" applyBorder="1" applyAlignment="1">
      <alignment vertical="top"/>
    </xf>
    <xf numFmtId="44" fontId="10" fillId="5" borderId="76" xfId="8" applyFont="1" applyFill="1" applyBorder="1" applyAlignment="1">
      <alignment vertical="top"/>
    </xf>
    <xf numFmtId="0" fontId="10" fillId="0" borderId="0" xfId="0" applyFont="1" applyFill="1" applyAlignment="1">
      <alignment vertical="top"/>
    </xf>
    <xf numFmtId="44" fontId="10" fillId="5" borderId="92" xfId="8" applyFont="1" applyFill="1" applyBorder="1" applyAlignment="1">
      <alignment horizontal="right" vertical="top" wrapText="1"/>
    </xf>
    <xf numFmtId="0" fontId="48" fillId="8" borderId="37" xfId="0" applyFont="1" applyFill="1" applyBorder="1" applyAlignment="1">
      <alignment horizontal="left" vertical="center"/>
    </xf>
    <xf numFmtId="0" fontId="10" fillId="3" borderId="0" xfId="0" applyFont="1" applyFill="1" applyAlignment="1">
      <alignment horizontal="left" vertical="top"/>
    </xf>
    <xf numFmtId="0" fontId="45" fillId="3" borderId="0" xfId="0" applyFont="1" applyFill="1" applyBorder="1" applyAlignment="1">
      <alignment horizontal="left" vertical="center" wrapText="1"/>
    </xf>
    <xf numFmtId="0" fontId="33" fillId="3" borderId="0" xfId="0" applyFont="1" applyFill="1" applyBorder="1" applyAlignment="1">
      <alignment horizontal="center" vertical="center" wrapText="1"/>
    </xf>
    <xf numFmtId="0" fontId="39" fillId="16" borderId="0" xfId="0" applyFont="1" applyFill="1" applyBorder="1" applyAlignment="1">
      <alignment horizontal="left" vertical="center"/>
    </xf>
    <xf numFmtId="0" fontId="40" fillId="3" borderId="0" xfId="0" applyFont="1" applyFill="1" applyBorder="1" applyAlignment="1">
      <alignment horizontal="center" vertical="center" wrapText="1"/>
    </xf>
    <xf numFmtId="0" fontId="10" fillId="5" borderId="95" xfId="0" applyFont="1" applyFill="1" applyBorder="1" applyAlignment="1">
      <alignment horizontal="left" vertical="top" wrapText="1"/>
    </xf>
    <xf numFmtId="166" fontId="5" fillId="0" borderId="0" xfId="6" applyNumberFormat="1" applyFill="1" applyBorder="1"/>
    <xf numFmtId="166" fontId="10" fillId="3" borderId="0" xfId="8" applyNumberFormat="1" applyFont="1" applyFill="1" applyBorder="1" applyAlignment="1">
      <alignment vertical="top"/>
    </xf>
    <xf numFmtId="166" fontId="10" fillId="3" borderId="0" xfId="0" applyNumberFormat="1" applyFont="1" applyFill="1"/>
    <xf numFmtId="10" fontId="10" fillId="3" borderId="0" xfId="1" applyNumberFormat="1" applyFont="1" applyFill="1"/>
    <xf numFmtId="9" fontId="10" fillId="0" borderId="0" xfId="1" applyFont="1"/>
    <xf numFmtId="10" fontId="10" fillId="0" borderId="0" xfId="1" applyNumberFormat="1" applyFont="1"/>
    <xf numFmtId="9" fontId="10" fillId="3" borderId="0" xfId="1" applyFont="1" applyFill="1"/>
    <xf numFmtId="2" fontId="0" fillId="3" borderId="16" xfId="0" applyNumberFormat="1" applyFill="1" applyBorder="1"/>
    <xf numFmtId="2" fontId="0" fillId="3" borderId="0" xfId="0" applyNumberFormat="1" applyFill="1" applyBorder="1"/>
    <xf numFmtId="49" fontId="10" fillId="0" borderId="0" xfId="1" applyNumberFormat="1" applyFont="1" applyFill="1" applyBorder="1" applyAlignment="1">
      <alignment horizontal="left" wrapText="1"/>
    </xf>
    <xf numFmtId="0" fontId="0" fillId="3" borderId="50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5" borderId="0" xfId="0" applyFill="1" applyBorder="1" applyAlignment="1">
      <alignment horizontal="left" vertical="top" wrapText="1"/>
    </xf>
    <xf numFmtId="0" fontId="41" fillId="3" borderId="71" xfId="0" applyFont="1" applyFill="1" applyBorder="1" applyAlignment="1">
      <alignment horizontal="left" vertical="top" wrapText="1"/>
    </xf>
    <xf numFmtId="0" fontId="41" fillId="3" borderId="0" xfId="0" applyFont="1" applyFill="1" applyBorder="1" applyAlignment="1">
      <alignment horizontal="left" vertical="top"/>
    </xf>
    <xf numFmtId="0" fontId="4" fillId="18" borderId="0" xfId="4" applyFill="1" applyBorder="1" applyAlignment="1">
      <alignment horizontal="right"/>
    </xf>
    <xf numFmtId="0" fontId="10" fillId="6" borderId="14" xfId="0" applyFont="1" applyFill="1" applyBorder="1" applyAlignment="1">
      <alignment horizontal="center" vertical="center" textRotation="90"/>
    </xf>
    <xf numFmtId="0" fontId="10" fillId="6" borderId="15" xfId="0" applyFont="1" applyFill="1" applyBorder="1" applyAlignment="1">
      <alignment horizontal="center" vertical="center" textRotation="90"/>
    </xf>
    <xf numFmtId="0" fontId="10" fillId="6" borderId="16" xfId="0" applyFont="1" applyFill="1" applyBorder="1" applyAlignment="1">
      <alignment horizontal="center" vertical="center" textRotation="90"/>
    </xf>
    <xf numFmtId="0" fontId="2" fillId="3" borderId="1" xfId="2" applyFill="1" applyBorder="1" applyAlignment="1">
      <alignment horizontal="left"/>
    </xf>
    <xf numFmtId="0" fontId="4" fillId="3" borderId="3" xfId="4" applyFill="1" applyBorder="1" applyAlignment="1">
      <alignment horizontal="left"/>
    </xf>
    <xf numFmtId="0" fontId="42" fillId="7" borderId="14" xfId="0" applyFont="1" applyFill="1" applyBorder="1" applyAlignment="1">
      <alignment horizontal="center" vertical="center" textRotation="90"/>
    </xf>
    <xf numFmtId="0" fontId="42" fillId="7" borderId="15" xfId="0" applyFont="1" applyFill="1" applyBorder="1" applyAlignment="1">
      <alignment horizontal="center" vertical="center" textRotation="90"/>
    </xf>
    <xf numFmtId="0" fontId="42" fillId="7" borderId="16" xfId="0" applyFont="1" applyFill="1" applyBorder="1" applyAlignment="1">
      <alignment horizontal="center" vertical="center" textRotation="90"/>
    </xf>
    <xf numFmtId="0" fontId="44" fillId="8" borderId="14" xfId="0" applyFont="1" applyFill="1" applyBorder="1" applyAlignment="1">
      <alignment horizontal="center" vertical="center" textRotation="90"/>
    </xf>
    <xf numFmtId="0" fontId="44" fillId="8" borderId="15" xfId="0" applyFont="1" applyFill="1" applyBorder="1" applyAlignment="1">
      <alignment horizontal="center" vertical="center" textRotation="90"/>
    </xf>
    <xf numFmtId="0" fontId="44" fillId="8" borderId="16" xfId="0" applyFont="1" applyFill="1" applyBorder="1" applyAlignment="1">
      <alignment horizontal="center" vertical="center" textRotation="90"/>
    </xf>
    <xf numFmtId="0" fontId="44" fillId="8" borderId="20" xfId="0" applyFont="1" applyFill="1" applyBorder="1" applyAlignment="1">
      <alignment horizontal="center" vertical="center" textRotation="90"/>
    </xf>
    <xf numFmtId="0" fontId="44" fillId="8" borderId="21" xfId="0" applyFont="1" applyFill="1" applyBorder="1" applyAlignment="1">
      <alignment horizontal="center" vertical="center" textRotation="90"/>
    </xf>
    <xf numFmtId="0" fontId="44" fillId="8" borderId="68" xfId="0" applyFont="1" applyFill="1" applyBorder="1" applyAlignment="1">
      <alignment horizontal="center" vertical="center" textRotation="90"/>
    </xf>
    <xf numFmtId="0" fontId="42" fillId="7" borderId="69" xfId="0" applyFont="1" applyFill="1" applyBorder="1" applyAlignment="1">
      <alignment horizontal="center" vertical="center" textRotation="90"/>
    </xf>
    <xf numFmtId="0" fontId="42" fillId="7" borderId="68" xfId="0" applyFont="1" applyFill="1" applyBorder="1" applyAlignment="1">
      <alignment horizontal="center" vertical="center" textRotation="90"/>
    </xf>
    <xf numFmtId="0" fontId="10" fillId="3" borderId="0" xfId="0" applyFont="1" applyFill="1" applyAlignment="1">
      <alignment horizontal="center" vertical="center" wrapText="1"/>
    </xf>
    <xf numFmtId="0" fontId="46" fillId="8" borderId="0" xfId="11" applyFont="1" applyFill="1" applyAlignment="1">
      <alignment horizontal="center" vertical="center"/>
    </xf>
    <xf numFmtId="49" fontId="47" fillId="16" borderId="0" xfId="11" applyNumberFormat="1" applyFont="1" applyFill="1" applyAlignment="1">
      <alignment horizontal="left" vertical="center"/>
    </xf>
    <xf numFmtId="0" fontId="47" fillId="16" borderId="0" xfId="11" applyFont="1" applyFill="1" applyAlignment="1">
      <alignment horizontal="left" vertical="center"/>
    </xf>
    <xf numFmtId="0" fontId="33" fillId="16" borderId="0" xfId="0" applyFont="1" applyFill="1" applyBorder="1" applyAlignment="1">
      <alignment horizontal="left" vertical="center" wrapText="1"/>
    </xf>
    <xf numFmtId="44" fontId="10" fillId="6" borderId="0" xfId="8" applyFont="1" applyFill="1" applyBorder="1" applyAlignment="1">
      <alignment horizontal="center" vertical="center" wrapText="1"/>
    </xf>
    <xf numFmtId="44" fontId="10" fillId="6" borderId="0" xfId="8" applyFont="1" applyFill="1" applyBorder="1" applyAlignment="1">
      <alignment horizontal="center" vertical="center"/>
    </xf>
    <xf numFmtId="44" fontId="10" fillId="6" borderId="72" xfId="8" applyFont="1" applyFill="1" applyBorder="1" applyAlignment="1">
      <alignment horizontal="center" vertical="center"/>
    </xf>
    <xf numFmtId="0" fontId="25" fillId="3" borderId="0" xfId="11" applyFill="1" applyAlignment="1">
      <alignment horizontal="center"/>
    </xf>
    <xf numFmtId="0" fontId="4" fillId="5" borderId="0" xfId="4" applyFill="1" applyBorder="1" applyAlignment="1">
      <alignment horizontal="left" vertical="top" wrapText="1"/>
    </xf>
    <xf numFmtId="0" fontId="10" fillId="3" borderId="0" xfId="0" applyFont="1" applyFill="1" applyAlignment="1">
      <alignment horizontal="left" vertical="top" wrapText="1"/>
    </xf>
    <xf numFmtId="0" fontId="8" fillId="6" borderId="0" xfId="0" applyFont="1" applyFill="1" applyAlignment="1">
      <alignment horizontal="center" vertical="center"/>
    </xf>
    <xf numFmtId="0" fontId="8" fillId="6" borderId="96" xfId="0" applyFont="1" applyFill="1" applyBorder="1" applyAlignment="1">
      <alignment horizontal="center" vertical="center"/>
    </xf>
    <xf numFmtId="49" fontId="0" fillId="5" borderId="38" xfId="0" applyNumberFormat="1" applyFont="1" applyFill="1" applyBorder="1" applyAlignment="1">
      <alignment horizontal="left" vertical="top" wrapText="1"/>
    </xf>
    <xf numFmtId="49" fontId="0" fillId="5" borderId="39" xfId="0" applyNumberFormat="1" applyFont="1" applyFill="1" applyBorder="1" applyAlignment="1">
      <alignment horizontal="left" vertical="top" wrapText="1"/>
    </xf>
    <xf numFmtId="49" fontId="0" fillId="5" borderId="40" xfId="0" applyNumberFormat="1" applyFont="1" applyFill="1" applyBorder="1" applyAlignment="1">
      <alignment horizontal="left" vertical="top" wrapText="1"/>
    </xf>
    <xf numFmtId="0" fontId="0" fillId="3" borderId="57" xfId="1" applyNumberFormat="1" applyFont="1" applyFill="1" applyBorder="1" applyAlignment="1">
      <alignment horizontal="right"/>
    </xf>
    <xf numFmtId="0" fontId="0" fillId="3" borderId="64" xfId="1" applyNumberFormat="1" applyFont="1" applyFill="1" applyBorder="1" applyAlignment="1">
      <alignment horizontal="right"/>
    </xf>
    <xf numFmtId="164" fontId="0" fillId="6" borderId="57" xfId="1" applyNumberFormat="1" applyFont="1" applyFill="1" applyBorder="1" applyAlignment="1">
      <alignment horizontal="left"/>
    </xf>
    <xf numFmtId="164" fontId="0" fillId="6" borderId="64" xfId="1" applyNumberFormat="1" applyFont="1" applyFill="1" applyBorder="1" applyAlignment="1">
      <alignment horizontal="left"/>
    </xf>
    <xf numFmtId="164" fontId="0" fillId="6" borderId="58" xfId="1" applyNumberFormat="1" applyFont="1" applyFill="1" applyBorder="1" applyAlignment="1">
      <alignment horizontal="left"/>
    </xf>
    <xf numFmtId="0" fontId="0" fillId="3" borderId="57" xfId="1" applyNumberFormat="1" applyFont="1" applyFill="1" applyBorder="1" applyAlignment="1">
      <alignment horizontal="left"/>
    </xf>
    <xf numFmtId="0" fontId="0" fillId="3" borderId="64" xfId="1" applyNumberFormat="1" applyFont="1" applyFill="1" applyBorder="1" applyAlignment="1">
      <alignment horizontal="left"/>
    </xf>
    <xf numFmtId="164" fontId="0" fillId="3" borderId="57" xfId="1" applyNumberFormat="1" applyFont="1" applyFill="1" applyBorder="1" applyAlignment="1">
      <alignment horizontal="left"/>
    </xf>
    <xf numFmtId="164" fontId="0" fillId="3" borderId="64" xfId="1" applyNumberFormat="1" applyFont="1" applyFill="1" applyBorder="1" applyAlignment="1">
      <alignment horizontal="left"/>
    </xf>
    <xf numFmtId="164" fontId="0" fillId="3" borderId="58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</cellXfs>
  <cellStyles count="13">
    <cellStyle name="Calculation" xfId="6" builtinId="22"/>
    <cellStyle name="Currency" xfId="8" builtinId="4"/>
    <cellStyle name="Heading 1" xfId="2" builtinId="16"/>
    <cellStyle name="Heading 2" xfId="3" builtinId="17"/>
    <cellStyle name="Heading 3" xfId="4" builtinId="18"/>
    <cellStyle name="Heading 4" xfId="5" builtinId="19"/>
    <cellStyle name="Hyperlink" xfId="7" builtinId="8"/>
    <cellStyle name="Input" xfId="10" builtinId="20"/>
    <cellStyle name="Neutral" xfId="12" builtinId="28"/>
    <cellStyle name="Normal" xfId="0" builtinId="0"/>
    <cellStyle name="Percent" xfId="1" builtinId="5"/>
    <cellStyle name="Title" xfId="11" builtinId="15"/>
    <cellStyle name="Total" xfId="9" builtinId="25"/>
  </cellStyles>
  <dxfs count="12">
    <dxf>
      <fill>
        <patternFill>
          <bgColor rgb="FFE4716E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E4716E"/>
        </patternFill>
      </fill>
    </dxf>
    <dxf>
      <fill>
        <patternFill>
          <bgColor theme="9" tint="0.59996337778862885"/>
        </patternFill>
      </fill>
    </dxf>
    <dxf>
      <fill>
        <patternFill>
          <bgColor rgb="FFE4716E"/>
        </patternFill>
      </fill>
    </dxf>
    <dxf>
      <fill>
        <patternFill>
          <bgColor rgb="FFE4716E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999"/>
      <color rgb="FFE4716E"/>
      <color rgb="FFE1311F"/>
      <color rgb="FFD72D29"/>
      <color rgb="FFFF3300"/>
      <color rgb="FF44777B"/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250027</xdr:colOff>
          <xdr:row>0</xdr:row>
          <xdr:rowOff>47624</xdr:rowOff>
        </xdr:from>
        <xdr:to>
          <xdr:col>10</xdr:col>
          <xdr:colOff>773906</xdr:colOff>
          <xdr:row>0</xdr:row>
          <xdr:rowOff>523878</xdr:rowOff>
        </xdr:to>
        <xdr:pic>
          <xdr:nvPicPr>
            <xdr:cNvPr id="2" name="Picture 1">
              <a:extLst>
                <a:ext uri="{FF2B5EF4-FFF2-40B4-BE49-F238E27FC236}">
                  <a16:creationId xmlns:a16="http://schemas.microsoft.com/office/drawing/2014/main" id="{00000000-0008-0000-0300-000002000000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Check1" spid="_x0000_s2715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10679902" y="47624"/>
              <a:ext cx="523879" cy="476254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178624</xdr:colOff>
          <xdr:row>0</xdr:row>
          <xdr:rowOff>59535</xdr:rowOff>
        </xdr:from>
        <xdr:to>
          <xdr:col>1</xdr:col>
          <xdr:colOff>666749</xdr:colOff>
          <xdr:row>0</xdr:row>
          <xdr:rowOff>541321</xdr:rowOff>
        </xdr:to>
        <xdr:pic>
          <xdr:nvPicPr>
            <xdr:cNvPr id="3" name="Picture 2">
              <a:extLst>
                <a:ext uri="{FF2B5EF4-FFF2-40B4-BE49-F238E27FC236}">
                  <a16:creationId xmlns:a16="http://schemas.microsoft.com/office/drawing/2014/main" id="{00000000-0008-0000-0300-000003000000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Check2" spid="_x0000_s2716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3155187" y="59535"/>
              <a:ext cx="488125" cy="481786"/>
            </a:xfrm>
            <a:prstGeom prst="rect">
              <a:avLst/>
            </a:prstGeom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47625</xdr:rowOff>
    </xdr:from>
    <xdr:to>
      <xdr:col>1</xdr:col>
      <xdr:colOff>704767</xdr:colOff>
      <xdr:row>1</xdr:row>
      <xdr:rowOff>619054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238125"/>
          <a:ext cx="666667" cy="571429"/>
        </a:xfrm>
        <a:prstGeom prst="rect">
          <a:avLst/>
        </a:prstGeom>
      </xdr:spPr>
    </xdr:pic>
    <xdr:clientData/>
  </xdr:twoCellAnchor>
  <xdr:twoCellAnchor editAs="oneCell">
    <xdr:from>
      <xdr:col>1</xdr:col>
      <xdr:colOff>61909</xdr:colOff>
      <xdr:row>2</xdr:row>
      <xdr:rowOff>38100</xdr:rowOff>
    </xdr:from>
    <xdr:to>
      <xdr:col>1</xdr:col>
      <xdr:colOff>680957</xdr:colOff>
      <xdr:row>2</xdr:row>
      <xdr:rowOff>666671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509" y="885825"/>
          <a:ext cx="619048" cy="62857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28575</xdr:colOff>
          <xdr:row>1</xdr:row>
          <xdr:rowOff>19050</xdr:rowOff>
        </xdr:from>
        <xdr:ext cx="733425" cy="723900"/>
        <xdr:pic>
          <xdr:nvPicPr>
            <xdr:cNvPr id="4" name="Picture 3">
              <a:extLst>
                <a:ext uri="{FF2B5EF4-FFF2-40B4-BE49-F238E27FC236}">
                  <a16:creationId xmlns:a16="http://schemas.microsoft.com/office/drawing/2014/main" id="{00000000-0008-0000-0400-000004000000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Check1" spid="_x0000_s8848"/>
                </a:ext>
              </a:extLst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5162550" y="209550"/>
              <a:ext cx="733425" cy="723900"/>
            </a:xfrm>
            <a:prstGeom prst="rect">
              <a:avLst/>
            </a:prstGeom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</xdr:row>
          <xdr:rowOff>47625</xdr:rowOff>
        </xdr:from>
        <xdr:to>
          <xdr:col>8</xdr:col>
          <xdr:colOff>0</xdr:colOff>
          <xdr:row>2</xdr:row>
          <xdr:rowOff>714375</xdr:rowOff>
        </xdr:to>
        <xdr:pic>
          <xdr:nvPicPr>
            <xdr:cNvPr id="5" name="Picture 4">
              <a:extLst>
                <a:ext uri="{FF2B5EF4-FFF2-40B4-BE49-F238E27FC236}">
                  <a16:creationId xmlns:a16="http://schemas.microsoft.com/office/drawing/2014/main" id="{00000000-0008-0000-0400-000005000000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Check2" spid="_x0000_s8849"/>
                </a:ext>
              </a:extLst>
            </xdr:cNvPicPr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5133975" y="904875"/>
              <a:ext cx="733425" cy="666750"/>
            </a:xfrm>
            <a:prstGeom prst="rect">
              <a:avLst/>
            </a:prstGeom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30</xdr:row>
      <xdr:rowOff>47625</xdr:rowOff>
    </xdr:from>
    <xdr:to>
      <xdr:col>1</xdr:col>
      <xdr:colOff>723817</xdr:colOff>
      <xdr:row>30</xdr:row>
      <xdr:rowOff>619054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6143625"/>
          <a:ext cx="666667" cy="571429"/>
        </a:xfrm>
        <a:prstGeom prst="rect">
          <a:avLst/>
        </a:prstGeom>
      </xdr:spPr>
    </xdr:pic>
    <xdr:clientData/>
  </xdr:twoCellAnchor>
  <xdr:twoCellAnchor editAs="oneCell">
    <xdr:from>
      <xdr:col>2</xdr:col>
      <xdr:colOff>47625</xdr:colOff>
      <xdr:row>30</xdr:row>
      <xdr:rowOff>28575</xdr:rowOff>
    </xdr:from>
    <xdr:to>
      <xdr:col>2</xdr:col>
      <xdr:colOff>666673</xdr:colOff>
      <xdr:row>30</xdr:row>
      <xdr:rowOff>657146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5525" y="6124575"/>
          <a:ext cx="619048" cy="62857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w7776/Box%20Sync/TADS/TADS%20Documentation/ARB/Works%20In%20Progress/Cloud%20Migration%20Matrix%20Calculator%20-%20v0.4_Mar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- Start Here"/>
      <sheetName val="Complete- About the Service"/>
      <sheetName val="Complete- Qualitative Factors"/>
      <sheetName val="Complete- Underpinning Services"/>
      <sheetName val="SLA Uptime Goals (Generated)"/>
      <sheetName val="Glossary of Terms"/>
      <sheetName val="Questions"/>
      <sheetName val="Underpinning Services"/>
      <sheetName val="Service Diagram - Visual"/>
      <sheetName val="Service Diagram - Script"/>
      <sheetName val="Qualitative"/>
      <sheetName val="Data Values"/>
    </sheetNames>
    <sheetDataSet>
      <sheetData sheetId="0"/>
      <sheetData sheetId="1">
        <row r="12">
          <cell r="F12" t="str">
            <v>Service Owner name, Department</v>
          </cell>
        </row>
      </sheetData>
      <sheetData sheetId="2"/>
      <sheetData sheetId="3"/>
      <sheetData sheetId="4"/>
      <sheetData sheetId="5"/>
      <sheetData sheetId="6">
        <row r="27">
          <cell r="C27" t="str">
            <v>Does the service use Tier 1 or Tier 2 storage?</v>
          </cell>
        </row>
        <row r="28">
          <cell r="C28" t="str">
            <v>Does the service use a database?</v>
          </cell>
        </row>
        <row r="29">
          <cell r="C29" t="str">
            <v>Does the service require the mainframe?</v>
          </cell>
        </row>
        <row r="30">
          <cell r="C30" t="str">
            <v>Does the service use a UT provided virtual machine (VM)?</v>
          </cell>
        </row>
      </sheetData>
      <sheetData sheetId="7"/>
      <sheetData sheetId="8"/>
      <sheetData sheetId="9"/>
      <sheetData sheetId="10">
        <row r="3">
          <cell r="B3" t="str">
            <v>Non-production environment(s)</v>
          </cell>
        </row>
        <row r="4">
          <cell r="B4" t="str">
            <v>Monitoring/escalation, use of tools</v>
          </cell>
        </row>
        <row r="5">
          <cell r="B5" t="str">
            <v>HA hardware (resiliency)</v>
          </cell>
        </row>
        <row r="6">
          <cell r="B6" t="str">
            <v>Scalability/sizing on demand</v>
          </cell>
        </row>
        <row r="7">
          <cell r="B7" t="str">
            <v>Campus Data Center Physical Redundancy</v>
          </cell>
        </row>
        <row r="8">
          <cell r="B8" t="str">
            <v>Geo-Diverse (outside of TX)</v>
          </cell>
        </row>
        <row r="9">
          <cell r="B9" t="str">
            <v>Automated restart on failure</v>
          </cell>
        </row>
        <row r="10">
          <cell r="B10" t="str">
            <v>Change management</v>
          </cell>
        </row>
        <row r="11">
          <cell r="B11" t="str">
            <v>Coverage depth factor of at least 8</v>
          </cell>
        </row>
        <row r="12">
          <cell r="B12" t="str">
            <v>Disaster Recovery Plan</v>
          </cell>
        </row>
        <row r="13">
          <cell r="B13" t="str">
            <v>KPI review (monthly)</v>
          </cell>
        </row>
        <row r="14">
          <cell r="B14" t="str">
            <v>Trending</v>
          </cell>
        </row>
        <row r="15">
          <cell r="B15" t="str">
            <v>Regular Testing of Backups/restores</v>
          </cell>
        </row>
        <row r="16">
          <cell r="B16" t="str">
            <v>Scheduled maintenance windows</v>
          </cell>
        </row>
        <row r="17">
          <cell r="B17" t="str">
            <v>Historical performance</v>
          </cell>
        </row>
        <row r="18">
          <cell r="B18" t="str">
            <v>Frequency of emergency changes, &lt; 4 per year historically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ut.service-now.com/sp?id=ut_vmg_vm_estimator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azure.microsoft.com/en-us/pricing/calculator/" TargetMode="External"/><Relationship Id="rId1" Type="http://schemas.openxmlformats.org/officeDocument/2006/relationships/hyperlink" Target="https://calculator.s3.amazonaws.com/index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cloud.google.com/products/calculator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zoomScaleNormal="100" workbookViewId="0"/>
  </sheetViews>
  <sheetFormatPr defaultRowHeight="15" x14ac:dyDescent="0.25"/>
  <cols>
    <col min="1" max="1" width="2.42578125" customWidth="1"/>
    <col min="2" max="2" width="11" customWidth="1"/>
    <col min="3" max="3" width="26.85546875" customWidth="1"/>
    <col min="4" max="4" width="26.28515625" customWidth="1"/>
    <col min="5" max="5" width="22.140625" customWidth="1"/>
    <col min="6" max="6" width="20.85546875" customWidth="1"/>
    <col min="7" max="7" width="21.7109375" customWidth="1"/>
    <col min="8" max="8" width="2.85546875" customWidth="1"/>
  </cols>
  <sheetData>
    <row r="1" spans="1:9" ht="41.25" customHeight="1" thickBot="1" x14ac:dyDescent="0.4">
      <c r="A1" s="25"/>
      <c r="B1" s="173" t="s">
        <v>144</v>
      </c>
      <c r="C1" s="1"/>
      <c r="D1" s="1"/>
      <c r="E1" s="1"/>
      <c r="F1" s="1"/>
      <c r="G1" s="1"/>
      <c r="H1" s="1"/>
      <c r="I1" s="1"/>
    </row>
    <row r="2" spans="1:9" ht="6" customHeight="1" x14ac:dyDescent="0.35">
      <c r="A2" s="1"/>
      <c r="B2" s="136"/>
      <c r="C2" s="137"/>
      <c r="D2" s="137"/>
      <c r="E2" s="137"/>
      <c r="F2" s="137"/>
      <c r="G2" s="137"/>
      <c r="H2" s="138"/>
      <c r="I2" s="1"/>
    </row>
    <row r="3" spans="1:9" ht="15.75" thickBot="1" x14ac:dyDescent="0.3">
      <c r="A3" s="1"/>
      <c r="B3" s="141" t="s">
        <v>142</v>
      </c>
      <c r="C3" s="142"/>
      <c r="D3" s="142"/>
      <c r="E3" s="142"/>
      <c r="F3" s="142"/>
      <c r="G3" s="45"/>
      <c r="H3" s="140"/>
      <c r="I3" s="1"/>
    </row>
    <row r="4" spans="1:9" ht="3.75" customHeight="1" x14ac:dyDescent="0.25">
      <c r="A4" s="1"/>
      <c r="B4" s="139"/>
      <c r="C4" s="25"/>
      <c r="D4" s="25"/>
      <c r="E4" s="25"/>
      <c r="F4" s="25"/>
      <c r="G4" s="25"/>
      <c r="H4" s="140"/>
      <c r="I4" s="1"/>
    </row>
    <row r="5" spans="1:9" ht="101.25" customHeight="1" x14ac:dyDescent="0.25">
      <c r="A5" s="1"/>
      <c r="B5" s="352" t="s">
        <v>204</v>
      </c>
      <c r="C5" s="353"/>
      <c r="D5" s="353"/>
      <c r="E5" s="353"/>
      <c r="F5" s="353"/>
      <c r="G5" s="353"/>
      <c r="H5" s="140"/>
      <c r="I5" s="1"/>
    </row>
    <row r="6" spans="1:9" ht="15.75" thickBot="1" x14ac:dyDescent="0.3">
      <c r="A6" s="1"/>
      <c r="B6" s="278" t="s">
        <v>143</v>
      </c>
      <c r="C6" s="279"/>
      <c r="D6" s="142"/>
      <c r="E6" s="142"/>
      <c r="F6" s="142"/>
      <c r="G6" s="45"/>
      <c r="H6" s="140"/>
      <c r="I6" s="1"/>
    </row>
    <row r="7" spans="1:9" ht="3.75" customHeight="1" x14ac:dyDescent="0.25">
      <c r="A7" s="1"/>
      <c r="B7" s="139"/>
      <c r="C7" s="25"/>
      <c r="D7" s="25"/>
      <c r="E7" s="25"/>
      <c r="F7" s="25"/>
      <c r="G7" s="25"/>
      <c r="H7" s="140"/>
      <c r="I7" s="1"/>
    </row>
    <row r="8" spans="1:9" ht="30" customHeight="1" x14ac:dyDescent="0.25">
      <c r="A8" s="1"/>
      <c r="B8" s="139"/>
      <c r="C8" s="354" t="s">
        <v>215</v>
      </c>
      <c r="D8" s="354"/>
      <c r="E8" s="354"/>
      <c r="F8" s="354"/>
      <c r="G8" s="354"/>
      <c r="H8" s="140"/>
      <c r="I8" s="1"/>
    </row>
    <row r="9" spans="1:9" x14ac:dyDescent="0.25">
      <c r="A9" s="1"/>
      <c r="B9" s="139"/>
      <c r="C9" s="143"/>
      <c r="D9" s="25"/>
      <c r="E9" s="25"/>
      <c r="F9" s="25"/>
      <c r="G9" s="25"/>
      <c r="H9" s="140"/>
      <c r="I9" s="1"/>
    </row>
    <row r="10" spans="1:9" ht="15.75" thickBot="1" x14ac:dyDescent="0.3">
      <c r="A10" s="1"/>
      <c r="B10" s="141" t="s">
        <v>226</v>
      </c>
      <c r="C10" s="142"/>
      <c r="D10" s="142"/>
      <c r="E10" s="142"/>
      <c r="F10" s="142"/>
      <c r="G10" s="45"/>
      <c r="H10" s="140"/>
      <c r="I10" s="1"/>
    </row>
    <row r="11" spans="1:9" ht="3.75" customHeight="1" x14ac:dyDescent="0.25">
      <c r="A11" s="1"/>
      <c r="B11" s="139"/>
      <c r="C11" s="25"/>
      <c r="D11" s="25"/>
      <c r="E11" s="25"/>
      <c r="F11" s="25"/>
      <c r="G11" s="25"/>
      <c r="H11" s="140"/>
      <c r="I11" s="1"/>
    </row>
    <row r="12" spans="1:9" ht="30" customHeight="1" x14ac:dyDescent="0.25">
      <c r="A12" s="1"/>
      <c r="B12" s="139"/>
      <c r="C12" s="203" t="s">
        <v>166</v>
      </c>
      <c r="D12" s="25"/>
      <c r="E12" s="353" t="s">
        <v>201</v>
      </c>
      <c r="F12" s="353"/>
      <c r="G12" s="353"/>
      <c r="H12" s="140"/>
      <c r="I12" s="1"/>
    </row>
    <row r="13" spans="1:9" x14ac:dyDescent="0.25">
      <c r="A13" s="1"/>
      <c r="B13" s="139"/>
      <c r="C13" s="143" t="s">
        <v>167</v>
      </c>
      <c r="D13" s="25"/>
      <c r="E13" s="25" t="s">
        <v>205</v>
      </c>
      <c r="F13" s="25"/>
      <c r="G13" s="25"/>
      <c r="H13" s="140"/>
      <c r="I13" s="1"/>
    </row>
    <row r="14" spans="1:9" x14ac:dyDescent="0.25">
      <c r="A14" s="1"/>
      <c r="B14" s="139"/>
      <c r="C14" s="143" t="s">
        <v>206</v>
      </c>
      <c r="D14" s="25"/>
      <c r="E14" s="25" t="s">
        <v>207</v>
      </c>
      <c r="F14" s="25"/>
      <c r="G14" s="25"/>
      <c r="H14" s="140"/>
      <c r="I14" s="1"/>
    </row>
    <row r="15" spans="1:9" ht="15.75" thickBot="1" x14ac:dyDescent="0.3">
      <c r="A15" s="1"/>
      <c r="B15" s="141" t="s">
        <v>132</v>
      </c>
      <c r="C15" s="142"/>
      <c r="D15" s="142"/>
      <c r="E15" s="142"/>
      <c r="F15" s="142"/>
      <c r="G15" s="45"/>
      <c r="H15" s="140"/>
      <c r="I15" s="1"/>
    </row>
    <row r="16" spans="1:9" ht="3.75" customHeight="1" x14ac:dyDescent="0.25">
      <c r="A16" s="1"/>
      <c r="B16" s="139"/>
      <c r="C16" s="25"/>
      <c r="D16" s="25"/>
      <c r="E16" s="25"/>
      <c r="F16" s="25"/>
      <c r="G16" s="25"/>
      <c r="H16" s="140"/>
      <c r="I16" s="1"/>
    </row>
    <row r="17" spans="1:10" ht="30" customHeight="1" x14ac:dyDescent="0.25">
      <c r="A17" s="1"/>
      <c r="B17" s="139"/>
      <c r="C17" s="353" t="s">
        <v>208</v>
      </c>
      <c r="D17" s="353"/>
      <c r="E17" s="353"/>
      <c r="F17" s="353"/>
      <c r="G17" s="353"/>
      <c r="H17" s="140"/>
      <c r="I17" s="1"/>
    </row>
    <row r="18" spans="1:10" ht="15.75" thickBot="1" x14ac:dyDescent="0.3">
      <c r="A18" s="1"/>
      <c r="B18" s="144"/>
      <c r="C18" s="145"/>
      <c r="D18" s="145"/>
      <c r="E18" s="145"/>
      <c r="F18" s="145"/>
      <c r="G18" s="145"/>
      <c r="H18" s="146"/>
      <c r="I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10" x14ac:dyDescent="0.25">
      <c r="A21" s="1"/>
      <c r="B21" s="220" t="s">
        <v>0</v>
      </c>
      <c r="C21" s="7"/>
      <c r="D21" s="1"/>
      <c r="E21" s="3"/>
      <c r="F21" s="3"/>
      <c r="G21" s="1"/>
      <c r="H21" s="1"/>
      <c r="I21" s="1"/>
      <c r="J21" s="1"/>
    </row>
    <row r="22" spans="1:10" x14ac:dyDescent="0.25">
      <c r="A22" s="1"/>
      <c r="B22" s="147" t="s">
        <v>266</v>
      </c>
      <c r="C22" s="7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</row>
  </sheetData>
  <mergeCells count="4">
    <mergeCell ref="B5:G5"/>
    <mergeCell ref="E12:G12"/>
    <mergeCell ref="C17:G17"/>
    <mergeCell ref="C8:G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  <pageSetUpPr fitToPage="1"/>
  </sheetPr>
  <dimension ref="A1:Q50"/>
  <sheetViews>
    <sheetView zoomScaleNormal="100" workbookViewId="0">
      <selection activeCell="E8" sqref="E8"/>
    </sheetView>
  </sheetViews>
  <sheetFormatPr defaultRowHeight="15" x14ac:dyDescent="0.25"/>
  <cols>
    <col min="1" max="1" width="3" customWidth="1"/>
    <col min="2" max="2" width="3.7109375" customWidth="1"/>
    <col min="3" max="3" width="0.42578125" customWidth="1"/>
    <col min="4" max="4" width="59.28515625" customWidth="1"/>
    <col min="5" max="5" width="80.5703125" customWidth="1"/>
    <col min="6" max="6" width="11.85546875" customWidth="1"/>
    <col min="7" max="7" width="13.5703125" hidden="1" customWidth="1"/>
    <col min="8" max="8" width="69.140625" customWidth="1"/>
    <col min="9" max="9" width="0.42578125" customWidth="1"/>
    <col min="10" max="10" width="8.7109375" customWidth="1"/>
    <col min="11" max="11" width="8.28515625" customWidth="1"/>
    <col min="13" max="13" width="14.140625" bestFit="1" customWidth="1"/>
    <col min="14" max="14" width="13.85546875" bestFit="1" customWidth="1"/>
  </cols>
  <sheetData>
    <row r="1" spans="1:17" x14ac:dyDescent="0.25">
      <c r="A1" s="31"/>
      <c r="B1" s="32"/>
      <c r="C1" s="32"/>
      <c r="D1" s="33"/>
      <c r="E1" s="32"/>
      <c r="F1" s="32"/>
      <c r="G1" s="32"/>
      <c r="H1" s="32"/>
      <c r="I1" s="32"/>
      <c r="J1" s="32"/>
      <c r="K1" s="32"/>
      <c r="L1" s="34"/>
      <c r="M1" s="1"/>
      <c r="N1" s="1"/>
      <c r="O1" s="1"/>
      <c r="P1" s="1"/>
      <c r="Q1" s="1"/>
    </row>
    <row r="2" spans="1:17" ht="18" customHeight="1" thickBot="1" x14ac:dyDescent="0.35">
      <c r="A2" s="35"/>
      <c r="B2" s="361" t="s">
        <v>209</v>
      </c>
      <c r="C2" s="361"/>
      <c r="D2" s="361"/>
      <c r="E2" s="13" t="str">
        <f>CONCATENATE("Is the application being considered a good candidate to move to the cloud?  Complete the worksheet to see.")</f>
        <v>Is the application being considered a good candidate to move to the cloud?  Complete the worksheet to see.</v>
      </c>
      <c r="F2" s="36"/>
      <c r="G2" s="11"/>
      <c r="H2" s="11"/>
      <c r="I2" s="11"/>
      <c r="J2" s="25"/>
      <c r="K2" s="25"/>
      <c r="L2" s="37"/>
      <c r="M2" s="1"/>
      <c r="N2" s="1"/>
      <c r="O2" s="1"/>
      <c r="P2" s="1"/>
      <c r="Q2" s="1"/>
    </row>
    <row r="3" spans="1:17" ht="15.75" thickTop="1" x14ac:dyDescent="0.25">
      <c r="A3" s="35"/>
      <c r="B3" s="25"/>
      <c r="C3" s="25"/>
      <c r="D3" s="25"/>
      <c r="E3" s="25"/>
      <c r="F3" s="38"/>
      <c r="G3" s="39"/>
      <c r="H3" s="26"/>
      <c r="I3" s="25"/>
      <c r="J3" s="25"/>
      <c r="K3" s="25"/>
      <c r="L3" s="37"/>
      <c r="M3" s="1"/>
      <c r="N3" s="1"/>
      <c r="O3" s="1"/>
      <c r="P3" s="1"/>
      <c r="Q3" s="1"/>
    </row>
    <row r="4" spans="1:17" ht="15" customHeight="1" x14ac:dyDescent="0.25">
      <c r="A4" s="35"/>
      <c r="B4" s="357" t="s">
        <v>129</v>
      </c>
      <c r="C4" s="357"/>
      <c r="D4" s="357"/>
      <c r="E4" s="202" t="s">
        <v>227</v>
      </c>
      <c r="F4" s="25"/>
      <c r="G4" s="25"/>
      <c r="H4" s="25"/>
      <c r="I4" s="25"/>
      <c r="J4" s="25"/>
      <c r="K4" s="1"/>
      <c r="L4" s="37"/>
      <c r="M4" s="1"/>
      <c r="N4" s="1"/>
    </row>
    <row r="5" spans="1:17" x14ac:dyDescent="0.25">
      <c r="A5" s="35"/>
      <c r="B5" s="25"/>
      <c r="C5" s="25"/>
      <c r="D5" s="25"/>
      <c r="E5" s="25"/>
      <c r="F5" s="38"/>
      <c r="G5" s="39"/>
      <c r="H5" s="26"/>
      <c r="I5" s="25"/>
      <c r="J5" s="25"/>
      <c r="K5" s="25"/>
      <c r="L5" s="37"/>
      <c r="M5" s="1"/>
      <c r="N5" s="1"/>
      <c r="O5" s="1"/>
      <c r="P5" s="1"/>
      <c r="Q5" s="1"/>
    </row>
    <row r="6" spans="1:17" ht="15" customHeight="1" thickBot="1" x14ac:dyDescent="0.3">
      <c r="A6" s="35"/>
      <c r="B6" s="258" t="s">
        <v>44</v>
      </c>
      <c r="C6" s="258"/>
      <c r="D6" s="258"/>
      <c r="E6" s="258" t="s">
        <v>7</v>
      </c>
      <c r="F6" s="25"/>
      <c r="G6" s="25"/>
      <c r="H6" s="25"/>
      <c r="I6" s="25"/>
      <c r="J6" s="25"/>
      <c r="K6" s="25"/>
      <c r="L6" s="37"/>
      <c r="M6" s="1"/>
      <c r="N6" s="1"/>
      <c r="O6" s="1"/>
      <c r="P6" s="1"/>
      <c r="Q6" s="1"/>
    </row>
    <row r="7" spans="1:17" ht="2.1" customHeight="1" x14ac:dyDescent="0.25">
      <c r="A7" s="35"/>
      <c r="B7" s="102"/>
      <c r="C7" s="102"/>
      <c r="D7" s="102"/>
      <c r="E7" s="259"/>
      <c r="F7" s="25"/>
      <c r="G7" s="25"/>
      <c r="H7" s="25"/>
      <c r="I7" s="25"/>
      <c r="J7" s="25"/>
      <c r="K7" s="40"/>
      <c r="L7" s="37"/>
      <c r="M7" s="1"/>
      <c r="N7" s="1"/>
      <c r="O7" s="1"/>
      <c r="P7" s="1"/>
      <c r="Q7" s="1"/>
    </row>
    <row r="8" spans="1:17" ht="15" customHeight="1" x14ac:dyDescent="0.25">
      <c r="A8" s="35"/>
      <c r="B8" s="369" t="s">
        <v>45</v>
      </c>
      <c r="C8" s="53" t="s">
        <v>4</v>
      </c>
      <c r="D8" s="260"/>
      <c r="E8" s="261" t="s">
        <v>267</v>
      </c>
      <c r="F8" s="274" t="s">
        <v>216</v>
      </c>
      <c r="G8" s="274"/>
      <c r="H8" s="274"/>
      <c r="I8" s="274"/>
      <c r="J8" s="274"/>
      <c r="K8" s="274"/>
      <c r="L8" s="37"/>
      <c r="M8" s="1"/>
      <c r="N8" s="1"/>
      <c r="O8" s="1"/>
      <c r="P8" s="1"/>
      <c r="Q8" s="1"/>
    </row>
    <row r="9" spans="1:17" x14ac:dyDescent="0.25">
      <c r="A9" s="35"/>
      <c r="B9" s="370"/>
      <c r="C9" s="53" t="s">
        <v>3</v>
      </c>
      <c r="D9" s="260"/>
      <c r="E9" s="261" t="s">
        <v>267</v>
      </c>
      <c r="F9" s="274" t="s">
        <v>217</v>
      </c>
      <c r="G9" s="274"/>
      <c r="H9" s="274"/>
      <c r="I9" s="274"/>
      <c r="J9" s="274"/>
      <c r="K9" s="274"/>
      <c r="L9" s="37"/>
      <c r="M9" s="1"/>
      <c r="N9" s="1"/>
      <c r="O9" s="1"/>
      <c r="P9" s="1"/>
      <c r="Q9" s="1"/>
    </row>
    <row r="10" spans="1:17" x14ac:dyDescent="0.25">
      <c r="A10" s="35"/>
      <c r="B10" s="370"/>
      <c r="C10" s="53"/>
      <c r="D10" s="260" t="s">
        <v>2</v>
      </c>
      <c r="E10" s="261" t="s">
        <v>267</v>
      </c>
      <c r="F10" s="274" t="s">
        <v>219</v>
      </c>
      <c r="G10" s="274"/>
      <c r="H10" s="274"/>
      <c r="I10" s="274"/>
      <c r="J10" s="274"/>
      <c r="K10" s="274"/>
      <c r="L10" s="37"/>
      <c r="M10" s="1"/>
      <c r="N10" s="1"/>
      <c r="O10" s="1"/>
      <c r="P10" s="1"/>
      <c r="Q10" s="1"/>
    </row>
    <row r="11" spans="1:17" ht="15" customHeight="1" x14ac:dyDescent="0.25">
      <c r="A11" s="35"/>
      <c r="B11" s="370"/>
      <c r="C11" s="53"/>
      <c r="D11" s="262" t="s">
        <v>42</v>
      </c>
      <c r="E11" s="263" t="s">
        <v>267</v>
      </c>
      <c r="F11" s="274" t="s">
        <v>218</v>
      </c>
      <c r="G11" s="274"/>
      <c r="H11" s="274"/>
      <c r="I11" s="274"/>
      <c r="J11" s="274"/>
      <c r="K11" s="274"/>
      <c r="L11" s="37"/>
      <c r="M11" s="1"/>
      <c r="N11" s="1"/>
      <c r="O11" s="1"/>
      <c r="P11" s="1"/>
      <c r="Q11" s="1"/>
    </row>
    <row r="12" spans="1:17" ht="15" customHeight="1" x14ac:dyDescent="0.25">
      <c r="A12" s="35"/>
      <c r="B12" s="371"/>
      <c r="C12" s="53"/>
      <c r="D12" s="264" t="s">
        <v>135</v>
      </c>
      <c r="E12" s="265" t="s">
        <v>267</v>
      </c>
      <c r="F12" s="274" t="s">
        <v>220</v>
      </c>
      <c r="G12" s="274"/>
      <c r="H12" s="274"/>
      <c r="I12" s="274"/>
      <c r="J12" s="274"/>
      <c r="K12" s="274"/>
      <c r="L12" s="37"/>
      <c r="M12" s="351"/>
      <c r="N12" s="1"/>
      <c r="O12" s="1"/>
      <c r="P12" s="1"/>
      <c r="Q12" s="1"/>
    </row>
    <row r="13" spans="1:17" ht="15" customHeight="1" x14ac:dyDescent="0.25">
      <c r="A13" s="35"/>
      <c r="B13" s="372" t="s">
        <v>202</v>
      </c>
      <c r="C13" s="53"/>
      <c r="D13" s="266" t="s">
        <v>136</v>
      </c>
      <c r="E13" s="267" t="s">
        <v>267</v>
      </c>
      <c r="F13" s="274" t="s">
        <v>221</v>
      </c>
      <c r="G13" s="274"/>
      <c r="H13" s="274"/>
      <c r="I13" s="274"/>
      <c r="J13" s="274"/>
      <c r="K13" s="274"/>
      <c r="L13" s="37"/>
      <c r="M13" s="1"/>
      <c r="N13" s="1"/>
      <c r="O13" s="1"/>
      <c r="P13" s="1"/>
      <c r="Q13" s="1"/>
    </row>
    <row r="14" spans="1:17" ht="50.25" customHeight="1" x14ac:dyDescent="0.25">
      <c r="A14" s="35"/>
      <c r="B14" s="373"/>
      <c r="C14" s="53" t="s">
        <v>2</v>
      </c>
      <c r="D14" s="264" t="s">
        <v>43</v>
      </c>
      <c r="E14" s="268" t="s">
        <v>267</v>
      </c>
      <c r="F14" s="355" t="s">
        <v>222</v>
      </c>
      <c r="G14" s="356"/>
      <c r="H14" s="356"/>
      <c r="I14" s="356"/>
      <c r="J14" s="356"/>
      <c r="K14" s="356"/>
      <c r="L14" s="37"/>
      <c r="M14" s="1"/>
      <c r="N14" s="1"/>
      <c r="O14" s="1"/>
      <c r="P14" s="1"/>
      <c r="Q14" s="1"/>
    </row>
    <row r="15" spans="1:17" x14ac:dyDescent="0.25">
      <c r="A15" s="35"/>
      <c r="B15" s="269"/>
      <c r="C15" s="53" t="s">
        <v>1</v>
      </c>
      <c r="D15" s="270"/>
      <c r="E15" s="271" t="s">
        <v>267</v>
      </c>
      <c r="F15" s="274" t="s">
        <v>223</v>
      </c>
      <c r="G15" s="274"/>
      <c r="H15" s="274"/>
      <c r="I15" s="274"/>
      <c r="J15" s="274"/>
      <c r="K15" s="274"/>
      <c r="L15" s="37"/>
      <c r="M15" s="1"/>
      <c r="N15" s="1"/>
      <c r="O15" s="1"/>
      <c r="P15" s="1"/>
      <c r="Q15" s="1"/>
    </row>
    <row r="16" spans="1:17" x14ac:dyDescent="0.25">
      <c r="A16" s="35"/>
      <c r="B16" s="272"/>
      <c r="C16" s="53" t="s">
        <v>41</v>
      </c>
      <c r="D16" s="260"/>
      <c r="E16" s="273"/>
      <c r="F16" s="274"/>
      <c r="G16" s="274"/>
      <c r="H16" s="274"/>
      <c r="I16" s="274"/>
      <c r="J16" s="274"/>
      <c r="K16" s="274"/>
      <c r="L16" s="37"/>
      <c r="M16" s="1"/>
      <c r="N16" s="1"/>
      <c r="O16" s="1"/>
      <c r="P16" s="1"/>
      <c r="Q16" s="1"/>
    </row>
    <row r="17" spans="1:17" ht="1.5" customHeight="1" x14ac:dyDescent="0.25">
      <c r="A17" s="35"/>
      <c r="B17" s="30"/>
      <c r="C17" s="28"/>
      <c r="D17" s="29"/>
      <c r="E17" s="27"/>
      <c r="F17" s="25"/>
      <c r="G17" s="25"/>
      <c r="H17" s="25"/>
      <c r="I17" s="25"/>
      <c r="J17" s="25"/>
      <c r="K17" s="40"/>
      <c r="L17" s="37"/>
      <c r="M17" s="1"/>
      <c r="N17" s="1"/>
      <c r="O17" s="1"/>
      <c r="P17" s="1"/>
      <c r="Q17" s="1"/>
    </row>
    <row r="18" spans="1:17" x14ac:dyDescent="0.25">
      <c r="A18" s="3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37"/>
      <c r="M18" s="1"/>
      <c r="N18" s="1"/>
      <c r="O18" s="1"/>
      <c r="P18" s="1"/>
      <c r="Q18" s="1"/>
    </row>
    <row r="19" spans="1:17" x14ac:dyDescent="0.25">
      <c r="A19" s="3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37"/>
      <c r="M19" s="1"/>
      <c r="N19" s="1"/>
      <c r="O19" s="1"/>
      <c r="P19" s="1"/>
      <c r="Q19" s="1"/>
    </row>
    <row r="20" spans="1:17" ht="15" customHeight="1" x14ac:dyDescent="0.25">
      <c r="A20" s="35"/>
      <c r="B20" s="283"/>
      <c r="C20" s="282"/>
      <c r="D20" s="281" t="s">
        <v>129</v>
      </c>
      <c r="E20" s="202" t="s">
        <v>228</v>
      </c>
      <c r="F20" s="202"/>
      <c r="G20" s="25"/>
      <c r="H20" s="202"/>
      <c r="I20" s="25"/>
      <c r="J20" s="25"/>
      <c r="K20" s="1"/>
      <c r="L20" s="37"/>
      <c r="M20" s="1"/>
      <c r="N20" s="1"/>
    </row>
    <row r="21" spans="1:17" ht="45" customHeight="1" thickBot="1" x14ac:dyDescent="0.3">
      <c r="A21" s="35"/>
      <c r="B21" s="362" t="s">
        <v>203</v>
      </c>
      <c r="C21" s="362"/>
      <c r="D21" s="362"/>
      <c r="E21" s="41" t="s">
        <v>7</v>
      </c>
      <c r="F21" s="42" t="s">
        <v>184</v>
      </c>
      <c r="G21" s="43" t="s">
        <v>11</v>
      </c>
      <c r="H21" s="44" t="s">
        <v>50</v>
      </c>
      <c r="I21" s="25"/>
      <c r="J21" s="44" t="s">
        <v>150</v>
      </c>
      <c r="K21" s="44" t="s">
        <v>151</v>
      </c>
      <c r="L21" s="37"/>
      <c r="M21" s="1"/>
      <c r="N21" s="1"/>
      <c r="O21" s="1"/>
    </row>
    <row r="22" spans="1:17" ht="2.1" customHeight="1" x14ac:dyDescent="0.25">
      <c r="A22" s="35"/>
      <c r="B22" s="25"/>
      <c r="C22" s="25"/>
      <c r="D22" s="5"/>
      <c r="E22" s="4"/>
      <c r="F22" s="8"/>
      <c r="G22" s="4"/>
      <c r="H22" s="4"/>
      <c r="I22" s="25"/>
      <c r="J22" s="1"/>
      <c r="K22" s="1"/>
      <c r="L22" s="37"/>
      <c r="M22" s="1"/>
      <c r="N22" s="1"/>
      <c r="O22" s="1"/>
    </row>
    <row r="23" spans="1:17" ht="15" customHeight="1" x14ac:dyDescent="0.25">
      <c r="A23" s="35"/>
      <c r="B23" s="363" t="s">
        <v>39</v>
      </c>
      <c r="C23" s="222"/>
      <c r="D23" s="223" t="s">
        <v>170</v>
      </c>
      <c r="E23" s="224" t="str">
        <f>VLOOKUP(D23,Qualitative!$B$2:$C$58,2,FALSE)</f>
        <v>Success depends on the service/application owner supporting a move to the cloud.</v>
      </c>
      <c r="F23" s="225" t="s">
        <v>40</v>
      </c>
      <c r="G23" s="226">
        <f>IF(F23="Yes",1/$F$39,0)</f>
        <v>0</v>
      </c>
      <c r="H23" s="227" t="str">
        <f>IF(F23="No","Do not proceed without support of the application owner!","Excellent- support from leadership is critical")</f>
        <v>Excellent- support from leadership is critical</v>
      </c>
      <c r="I23" s="53"/>
      <c r="J23" s="228">
        <f>IF(F23="No",1,0)</f>
        <v>0</v>
      </c>
      <c r="K23" s="228">
        <f>IF(F23="Yes",0,0)</f>
        <v>0</v>
      </c>
      <c r="L23" s="37"/>
      <c r="M23" s="1"/>
      <c r="N23" s="1"/>
      <c r="O23" s="1"/>
    </row>
    <row r="24" spans="1:17" ht="15" customHeight="1" x14ac:dyDescent="0.25">
      <c r="A24" s="35"/>
      <c r="B24" s="364"/>
      <c r="C24" s="222"/>
      <c r="D24" s="223" t="s">
        <v>51</v>
      </c>
      <c r="E24" s="224" t="str">
        <f>VLOOKUP(D24,Qualitative!$B$2:$C$58,2,FALSE)</f>
        <v>SaaS puts most of the responsibility for maintaining servers and updates on the vendor.</v>
      </c>
      <c r="F24" s="229" t="s">
        <v>40</v>
      </c>
      <c r="G24" s="226"/>
      <c r="H24" s="227" t="str">
        <f>IF(F24="Yes","Great- best practice is to evaluate SaaS offerings before cosidering PaaS or IaaS cloud","Consider your hosting options as cloud is always an option ")</f>
        <v xml:space="preserve">Consider your hosting options as cloud is always an option </v>
      </c>
      <c r="I24" s="53"/>
      <c r="J24" s="228">
        <f>IF(F24="Yes",0,0)</f>
        <v>0</v>
      </c>
      <c r="K24" s="228">
        <f>IF(F24="Yes",1,0)</f>
        <v>0</v>
      </c>
      <c r="L24" s="37"/>
      <c r="M24" s="1"/>
      <c r="N24" s="1"/>
      <c r="O24" s="1"/>
    </row>
    <row r="25" spans="1:17" ht="15" customHeight="1" x14ac:dyDescent="0.25">
      <c r="A25" s="35"/>
      <c r="B25" s="364"/>
      <c r="C25" s="222"/>
      <c r="D25" s="223" t="s">
        <v>52</v>
      </c>
      <c r="E25" s="224" t="str">
        <f>VLOOKUP(D25,Qualitative!$B$2:$C$58,2,FALSE)</f>
        <v>Retire applications when possible to optimize the portfolio and negate a move to the cloud.</v>
      </c>
      <c r="F25" s="229" t="s">
        <v>40</v>
      </c>
      <c r="G25" s="226"/>
      <c r="H25" s="227" t="str">
        <f>IF(F25="Yes","It is a good practice to retire applications that are no longer required","")</f>
        <v/>
      </c>
      <c r="I25" s="53"/>
      <c r="J25" s="228">
        <f>IF(F25="No",0,0)</f>
        <v>0</v>
      </c>
      <c r="K25" s="228">
        <f>IF(F25="Yes",0,0)</f>
        <v>0</v>
      </c>
      <c r="L25" s="37"/>
      <c r="M25" s="1"/>
      <c r="N25" s="1"/>
      <c r="O25" s="1"/>
    </row>
    <row r="26" spans="1:17" ht="15" customHeight="1" x14ac:dyDescent="0.25">
      <c r="A26" s="35"/>
      <c r="B26" s="364"/>
      <c r="C26" s="222"/>
      <c r="D26" s="223" t="s">
        <v>148</v>
      </c>
      <c r="E26" s="224" t="str">
        <f>VLOOKUP(D26,Qualitative!$B$2:$C$58,2,FALSE)</f>
        <v>Re-examine the decision to determine why this was (or is) the case.  Is this still a requirement?</v>
      </c>
      <c r="F26" s="229" t="s">
        <v>40</v>
      </c>
      <c r="G26" s="226"/>
      <c r="H26" s="227" t="str">
        <f>IF(F26="Yes","Cloud services have lots of HA and geo-diversity options to support mission critical applications","")</f>
        <v/>
      </c>
      <c r="I26" s="53"/>
      <c r="J26" s="228">
        <f>IF(F26="Yes",1,0)</f>
        <v>0</v>
      </c>
      <c r="K26" s="228">
        <f>IF(F26="Yes",0,0)</f>
        <v>0</v>
      </c>
      <c r="L26" s="37"/>
      <c r="M26" s="1"/>
      <c r="N26" s="1"/>
      <c r="O26" s="1"/>
    </row>
    <row r="27" spans="1:17" ht="15.75" thickBot="1" x14ac:dyDescent="0.3">
      <c r="A27" s="35"/>
      <c r="B27" s="365"/>
      <c r="C27" s="222"/>
      <c r="D27" s="230" t="s">
        <v>180</v>
      </c>
      <c r="E27" s="231" t="str">
        <f>VLOOKUP(D27,Qualitative!$B$2:$C$58,2,FALSE)</f>
        <v>Vendor support for enterprise services is the standard.</v>
      </c>
      <c r="F27" s="232" t="s">
        <v>40</v>
      </c>
      <c r="G27" s="233">
        <f t="shared" ref="G27:G37" si="0">IF(F27="Yes",1/$F$39,0)</f>
        <v>0</v>
      </c>
      <c r="H27" s="234" t="str">
        <f>IF(F27="No","Consider the risk as typical enterprise solutions should be supported.","")</f>
        <v/>
      </c>
      <c r="I27" s="53"/>
      <c r="J27" s="228">
        <f>IF(F27="No",1,0)</f>
        <v>0</v>
      </c>
      <c r="K27" s="228">
        <f>IF(F27="Yes",0,0)</f>
        <v>0</v>
      </c>
      <c r="L27" s="37"/>
      <c r="M27" s="1"/>
      <c r="N27" s="1"/>
      <c r="O27" s="1"/>
    </row>
    <row r="28" spans="1:17" ht="15" customHeight="1" thickTop="1" x14ac:dyDescent="0.25">
      <c r="A28" s="35"/>
      <c r="B28" s="366" t="s">
        <v>10</v>
      </c>
      <c r="C28" s="222"/>
      <c r="D28" s="235" t="s">
        <v>174</v>
      </c>
      <c r="E28" s="236" t="str">
        <f>VLOOKUP(D28,Qualitative!$B$2:$C$58,2,FALSE)</f>
        <v>Cloud services can support applications with mission critical and HA needs.</v>
      </c>
      <c r="F28" s="237" t="s">
        <v>40</v>
      </c>
      <c r="G28" s="238">
        <f t="shared" si="0"/>
        <v>0</v>
      </c>
      <c r="H28" s="239" t="str">
        <f>IF(F28="Yes","Cloud is a good choice as lots of services are HIPAA certified","")</f>
        <v/>
      </c>
      <c r="I28" s="53"/>
      <c r="J28" s="228">
        <f t="shared" ref="J28:J36" si="1">IF(F28="No",0,0)</f>
        <v>0</v>
      </c>
      <c r="K28" s="228">
        <f t="shared" ref="K28:K34" si="2">IF(F28="Yes",1,0)</f>
        <v>0</v>
      </c>
      <c r="L28" s="37"/>
      <c r="M28" s="1"/>
      <c r="N28" s="1"/>
      <c r="O28" s="1"/>
    </row>
    <row r="29" spans="1:17" x14ac:dyDescent="0.25">
      <c r="A29" s="35"/>
      <c r="B29" s="367"/>
      <c r="C29" s="222"/>
      <c r="D29" s="240" t="s">
        <v>175</v>
      </c>
      <c r="E29" s="241" t="str">
        <f>VLOOKUP(D29,Qualitative!$B$2:$C$58,2,FALSE)</f>
        <v>Use the cloud for HA/DR to add resiliency to the service</v>
      </c>
      <c r="F29" s="229" t="s">
        <v>40</v>
      </c>
      <c r="G29" s="226">
        <f t="shared" si="0"/>
        <v>0</v>
      </c>
      <c r="H29" s="227" t="str">
        <f>IF(F29="Yes","Cloud is a good choice for applications that have offiste HA and DR needs","")</f>
        <v/>
      </c>
      <c r="I29" s="53"/>
      <c r="J29" s="228">
        <f t="shared" si="1"/>
        <v>0</v>
      </c>
      <c r="K29" s="228">
        <f t="shared" si="2"/>
        <v>0</v>
      </c>
      <c r="L29" s="37"/>
      <c r="M29" s="1"/>
      <c r="N29" s="1"/>
      <c r="O29" s="1"/>
    </row>
    <row r="30" spans="1:17" x14ac:dyDescent="0.25">
      <c r="A30" s="35"/>
      <c r="B30" s="367"/>
      <c r="C30" s="222"/>
      <c r="D30" s="240" t="s">
        <v>32</v>
      </c>
      <c r="E30" s="241" t="str">
        <f>VLOOKUP(D30,Qualitative!$B$2:$C$58,2,FALSE)</f>
        <v>Does the application need to be able to auto scale up and down on demand?</v>
      </c>
      <c r="F30" s="229" t="s">
        <v>40</v>
      </c>
      <c r="G30" s="226">
        <f t="shared" si="0"/>
        <v>0</v>
      </c>
      <c r="H30" s="227" t="str">
        <f>IF(F30="Yes","Cloud is a good choice for optimizing workloads only using resources that are needed","")</f>
        <v/>
      </c>
      <c r="I30" s="53"/>
      <c r="J30" s="228">
        <f t="shared" si="1"/>
        <v>0</v>
      </c>
      <c r="K30" s="228">
        <f t="shared" si="2"/>
        <v>0</v>
      </c>
      <c r="L30" s="37"/>
      <c r="M30" s="1"/>
      <c r="N30" s="1"/>
      <c r="O30" s="1"/>
    </row>
    <row r="31" spans="1:17" ht="15" customHeight="1" x14ac:dyDescent="0.25">
      <c r="A31" s="35"/>
      <c r="B31" s="367"/>
      <c r="C31" s="222"/>
      <c r="D31" s="240" t="s">
        <v>265</v>
      </c>
      <c r="E31" s="241" t="str">
        <f>VLOOKUP(D31,Qualitative!$B$2:$C$58,2,FALSE)</f>
        <v>Cloud services allow for only running services when needed to minimize cost.</v>
      </c>
      <c r="F31" s="229" t="s">
        <v>40</v>
      </c>
      <c r="G31" s="226">
        <f t="shared" si="0"/>
        <v>0</v>
      </c>
      <c r="H31" s="227" t="str">
        <f>IF(F31="Yes","Cloud services can be shutdown/paused when not in use","")</f>
        <v/>
      </c>
      <c r="I31" s="53"/>
      <c r="J31" s="228">
        <f t="shared" si="1"/>
        <v>0</v>
      </c>
      <c r="K31" s="228">
        <f t="shared" si="2"/>
        <v>0</v>
      </c>
      <c r="L31" s="37"/>
      <c r="M31" s="1"/>
      <c r="N31" s="1"/>
      <c r="O31" s="1"/>
    </row>
    <row r="32" spans="1:17" x14ac:dyDescent="0.25">
      <c r="A32" s="35"/>
      <c r="B32" s="367"/>
      <c r="C32" s="222"/>
      <c r="D32" s="240" t="s">
        <v>27</v>
      </c>
      <c r="E32" s="241" t="str">
        <f>VLOOKUP(D32,Qualitative!$B$2:$C$58,2,FALSE)</f>
        <v>Prefer to place HIPAA data off site in a HIPAA certified cloud environment</v>
      </c>
      <c r="F32" s="229" t="s">
        <v>40</v>
      </c>
      <c r="G32" s="226">
        <f t="shared" si="0"/>
        <v>0</v>
      </c>
      <c r="H32" s="102" t="str">
        <f>IF(F32="Yes","Cloud is a good choice as lots of services are HIPAA certified","")</f>
        <v/>
      </c>
      <c r="I32" s="53"/>
      <c r="J32" s="228">
        <f t="shared" si="1"/>
        <v>0</v>
      </c>
      <c r="K32" s="228">
        <f t="shared" si="2"/>
        <v>0</v>
      </c>
      <c r="L32" s="37"/>
      <c r="M32" s="1"/>
      <c r="N32" s="1"/>
      <c r="O32" s="1"/>
    </row>
    <row r="33" spans="1:17" x14ac:dyDescent="0.25">
      <c r="A33" s="35"/>
      <c r="B33" s="367"/>
      <c r="C33" s="222"/>
      <c r="D33" s="240" t="s">
        <v>179</v>
      </c>
      <c r="E33" s="241" t="str">
        <f>VLOOKUP(D33,Qualitative!$B$2:$C$58,2,FALSE)</f>
        <v>Cloud services offer various ways to slightly adjust or completely reimagine the application</v>
      </c>
      <c r="F33" s="229" t="s">
        <v>40</v>
      </c>
      <c r="G33" s="226">
        <f t="shared" si="0"/>
        <v>0</v>
      </c>
      <c r="H33" s="227" t="str">
        <f>IF(F33="Yes","Exlplore cloud services for solutioning typically not possible when deployed on-prem","")</f>
        <v/>
      </c>
      <c r="I33" s="53"/>
      <c r="J33" s="228">
        <f t="shared" si="1"/>
        <v>0</v>
      </c>
      <c r="K33" s="228">
        <f t="shared" si="2"/>
        <v>0</v>
      </c>
      <c r="L33" s="37"/>
      <c r="M33" s="1"/>
      <c r="N33" s="1"/>
      <c r="O33" s="1"/>
    </row>
    <row r="34" spans="1:17" ht="15.75" thickBot="1" x14ac:dyDescent="0.3">
      <c r="A34" s="35"/>
      <c r="B34" s="368"/>
      <c r="C34" s="222"/>
      <c r="D34" s="242" t="s">
        <v>26</v>
      </c>
      <c r="E34" s="243" t="str">
        <f>VLOOKUP(D34,Qualitative!$B$2:$C$58,2,FALSE)</f>
        <v>Vendors often times have pre-built base templates available, like CloudFormation by AWS.</v>
      </c>
      <c r="F34" s="232" t="s">
        <v>40</v>
      </c>
      <c r="G34" s="233">
        <f t="shared" si="0"/>
        <v>0</v>
      </c>
      <c r="H34" s="234" t="str">
        <f>IF(F34="Yes","Leveraging vendor provided scripts expidates setup and maintenance activities","")</f>
        <v/>
      </c>
      <c r="I34" s="53"/>
      <c r="J34" s="228">
        <f t="shared" si="1"/>
        <v>0</v>
      </c>
      <c r="K34" s="228">
        <f t="shared" si="2"/>
        <v>0</v>
      </c>
      <c r="L34" s="37"/>
      <c r="M34" s="1"/>
      <c r="N34" s="1"/>
      <c r="O34" s="1"/>
    </row>
    <row r="35" spans="1:17" ht="15" customHeight="1" thickTop="1" x14ac:dyDescent="0.25">
      <c r="A35" s="35"/>
      <c r="B35" s="358" t="s">
        <v>45</v>
      </c>
      <c r="C35" s="222"/>
      <c r="D35" s="244" t="s">
        <v>36</v>
      </c>
      <c r="E35" s="245" t="str">
        <f>VLOOKUP(D35,Qualitative!$B$2:$C$58,2,FALSE)</f>
        <v>For example, on-prem authentication or other data or applications?</v>
      </c>
      <c r="F35" s="237" t="s">
        <v>40</v>
      </c>
      <c r="G35" s="238">
        <f t="shared" si="0"/>
        <v>0</v>
      </c>
      <c r="H35" s="244" t="str">
        <f>IF(F35="Yes","Access to on-prem resources to support the cloud move will need to be detailed out","")</f>
        <v/>
      </c>
      <c r="I35" s="53"/>
      <c r="J35" s="228">
        <f t="shared" si="1"/>
        <v>0</v>
      </c>
      <c r="K35" s="228">
        <f t="shared" ref="K35:K36" si="3">IF(F35="Yes",0,0)</f>
        <v>0</v>
      </c>
      <c r="L35" s="37"/>
      <c r="M35" s="1"/>
      <c r="N35" s="1"/>
      <c r="O35" s="1"/>
    </row>
    <row r="36" spans="1:17" x14ac:dyDescent="0.25">
      <c r="A36" s="35"/>
      <c r="B36" s="359"/>
      <c r="C36" s="222"/>
      <c r="D36" s="246" t="s">
        <v>29</v>
      </c>
      <c r="E36" s="245" t="str">
        <f>VLOOKUP(D36,Qualitative!$B$2:$C$58,2,FALSE)</f>
        <v>Ensure cloud application can securely interact with the mainframe</v>
      </c>
      <c r="F36" s="229" t="s">
        <v>40</v>
      </c>
      <c r="G36" s="238">
        <f t="shared" si="0"/>
        <v>0</v>
      </c>
      <c r="H36" s="246" t="str">
        <f>IF(F36="Yes","Doable- the solution will require the use of a cloud VPC to access Mainframe data","")</f>
        <v/>
      </c>
      <c r="I36" s="53"/>
      <c r="J36" s="228">
        <f t="shared" si="1"/>
        <v>0</v>
      </c>
      <c r="K36" s="228">
        <f t="shared" si="3"/>
        <v>0</v>
      </c>
      <c r="L36" s="37"/>
      <c r="M36" s="1"/>
      <c r="N36" s="1"/>
      <c r="O36" s="1"/>
    </row>
    <row r="37" spans="1:17" ht="15.75" thickBot="1" x14ac:dyDescent="0.3">
      <c r="A37" s="35"/>
      <c r="B37" s="360"/>
      <c r="C37" s="222"/>
      <c r="D37" s="247"/>
      <c r="E37" s="245"/>
      <c r="F37" s="248"/>
      <c r="G37" s="249">
        <f t="shared" si="0"/>
        <v>0</v>
      </c>
      <c r="H37" s="250"/>
      <c r="I37" s="53"/>
      <c r="J37" s="228"/>
      <c r="K37" s="228"/>
      <c r="L37" s="37"/>
      <c r="M37" s="1"/>
      <c r="N37" s="1"/>
      <c r="O37" s="1"/>
    </row>
    <row r="38" spans="1:17" ht="2.1" customHeight="1" thickTop="1" x14ac:dyDescent="0.25">
      <c r="A38" s="35"/>
      <c r="B38" s="102"/>
      <c r="C38" s="102"/>
      <c r="D38" s="251"/>
      <c r="E38" s="252"/>
      <c r="F38" s="252"/>
      <c r="G38" s="252"/>
      <c r="H38" s="253"/>
      <c r="I38" s="102"/>
      <c r="J38" s="97"/>
      <c r="K38" s="97"/>
      <c r="L38" s="37"/>
      <c r="M38" s="1"/>
      <c r="N38" s="1"/>
      <c r="O38" s="1"/>
    </row>
    <row r="39" spans="1:17" x14ac:dyDescent="0.25">
      <c r="A39" s="35"/>
      <c r="B39" s="102"/>
      <c r="C39" s="102"/>
      <c r="D39" s="254"/>
      <c r="E39" s="255"/>
      <c r="F39" s="256"/>
      <c r="G39" s="257">
        <f>SUM(G23:G38)</f>
        <v>0</v>
      </c>
      <c r="H39" s="256"/>
      <c r="I39" s="102"/>
      <c r="J39" s="97">
        <f>SUM(J23:J38)</f>
        <v>0</v>
      </c>
      <c r="K39" s="97">
        <f>SUM(K23:K38)</f>
        <v>0</v>
      </c>
      <c r="L39" s="37"/>
      <c r="M39" s="1"/>
      <c r="N39" s="1"/>
      <c r="O39" s="1"/>
    </row>
    <row r="40" spans="1:17" x14ac:dyDescent="0.25">
      <c r="A40" s="35"/>
      <c r="B40" s="25"/>
      <c r="C40" s="25"/>
      <c r="D40" s="25"/>
      <c r="E40" s="25"/>
      <c r="F40" s="38"/>
      <c r="G40" s="39"/>
      <c r="H40" s="26"/>
      <c r="I40" s="25"/>
      <c r="J40" s="1"/>
      <c r="K40" s="1"/>
      <c r="L40" s="37"/>
      <c r="M40" s="1"/>
      <c r="N40" s="1"/>
      <c r="O40" s="1"/>
    </row>
    <row r="41" spans="1:17" x14ac:dyDescent="0.25">
      <c r="A41" s="35"/>
      <c r="B41" s="25"/>
      <c r="C41" s="25"/>
      <c r="D41" s="25"/>
      <c r="E41" s="25"/>
      <c r="F41" s="25"/>
      <c r="G41" s="25"/>
      <c r="I41" s="25"/>
      <c r="J41" s="25"/>
      <c r="K41" s="25"/>
      <c r="L41" s="37"/>
      <c r="M41" s="1"/>
      <c r="N41" s="1"/>
      <c r="O41" s="1"/>
      <c r="P41" s="1"/>
      <c r="Q41" s="1"/>
    </row>
    <row r="42" spans="1:17" x14ac:dyDescent="0.25">
      <c r="A42" s="35"/>
      <c r="B42" s="25"/>
      <c r="C42" s="25"/>
      <c r="E42" s="25"/>
      <c r="F42" s="25"/>
      <c r="G42" s="25"/>
      <c r="H42" s="25"/>
      <c r="I42" s="25"/>
      <c r="J42" s="25"/>
      <c r="K42" s="25"/>
      <c r="L42" s="37"/>
      <c r="M42" s="1"/>
      <c r="N42" s="1"/>
      <c r="O42" s="1"/>
      <c r="P42" s="1"/>
      <c r="Q42" s="1"/>
    </row>
    <row r="43" spans="1:17" ht="15.75" thickBot="1" x14ac:dyDescent="0.3">
      <c r="A43" s="47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9"/>
      <c r="M43" s="1"/>
      <c r="N43" s="1"/>
      <c r="O43" s="1"/>
      <c r="P43" s="1"/>
      <c r="Q43" s="1"/>
    </row>
    <row r="44" spans="1:17" x14ac:dyDescent="0.25">
      <c r="A44" s="1"/>
      <c r="B44" s="1"/>
      <c r="C44" s="1"/>
      <c r="D44" s="220" t="s">
        <v>0</v>
      </c>
      <c r="E44" s="1"/>
      <c r="F44" s="1"/>
      <c r="G44" s="3"/>
      <c r="H44" s="3"/>
      <c r="I44" s="1"/>
      <c r="J44" s="1"/>
      <c r="K44" s="1"/>
      <c r="L44" s="1"/>
    </row>
    <row r="45" spans="1:17" x14ac:dyDescent="0.25">
      <c r="A45" s="1"/>
      <c r="B45" s="1"/>
      <c r="C45" s="1"/>
      <c r="D45" s="147" t="s">
        <v>266</v>
      </c>
      <c r="E45" s="1"/>
      <c r="F45" s="1"/>
      <c r="G45" s="1"/>
      <c r="H45" s="1"/>
      <c r="I45" s="1"/>
      <c r="J45" s="1"/>
      <c r="K45" s="1"/>
      <c r="L45" s="1"/>
    </row>
    <row r="46" spans="1:17" x14ac:dyDescent="0.25">
      <c r="A46" s="1"/>
      <c r="B46" s="1"/>
      <c r="C46" s="1"/>
      <c r="D46" s="2"/>
      <c r="E46" s="1"/>
      <c r="F46" s="1"/>
      <c r="G46" s="1"/>
      <c r="H46" s="1"/>
      <c r="I46" s="1"/>
      <c r="J46" s="1"/>
      <c r="K46" s="1"/>
      <c r="L46" s="1"/>
    </row>
    <row r="47" spans="1:17" x14ac:dyDescent="0.25">
      <c r="A47" s="1"/>
      <c r="B47" s="1"/>
      <c r="C47" s="1"/>
      <c r="D47" s="7"/>
      <c r="E47" s="1"/>
      <c r="F47" s="1"/>
      <c r="G47" s="1"/>
      <c r="H47" s="1"/>
      <c r="I47" s="1"/>
      <c r="J47" s="1"/>
      <c r="K47" s="1"/>
      <c r="L47" s="1"/>
    </row>
    <row r="50" spans="4:4" hidden="1" x14ac:dyDescent="0.25">
      <c r="D50" s="46" t="s">
        <v>8</v>
      </c>
    </row>
  </sheetData>
  <mergeCells count="9">
    <mergeCell ref="F14:K14"/>
    <mergeCell ref="B4:D4"/>
    <mergeCell ref="B35:B37"/>
    <mergeCell ref="B2:D2"/>
    <mergeCell ref="B21:D21"/>
    <mergeCell ref="B23:B27"/>
    <mergeCell ref="B28:B34"/>
    <mergeCell ref="B8:B12"/>
    <mergeCell ref="B13:B14"/>
  </mergeCells>
  <conditionalFormatting sqref="H23 J24:K37">
    <cfRule type="expression" dxfId="11" priority="7">
      <formula>F23="No"</formula>
    </cfRule>
  </conditionalFormatting>
  <conditionalFormatting sqref="H27">
    <cfRule type="expression" dxfId="10" priority="6">
      <formula>F27="No"</formula>
    </cfRule>
  </conditionalFormatting>
  <conditionalFormatting sqref="J23">
    <cfRule type="expression" dxfId="9" priority="5">
      <formula>H23="No"</formula>
    </cfRule>
  </conditionalFormatting>
  <conditionalFormatting sqref="K23">
    <cfRule type="expression" dxfId="8" priority="4">
      <formula>I23="No"</formula>
    </cfRule>
  </conditionalFormatting>
  <dataValidations count="1">
    <dataValidation type="list" showInputMessage="1" showErrorMessage="1" sqref="D23:D37" xr:uid="{00000000-0002-0000-0100-000000000000}">
      <formula1>Qual_Factors</formula1>
    </dataValidation>
  </dataValidations>
  <hyperlinks>
    <hyperlink ref="D50" location="'Glossary of Terms'!A1" display="*Note: Qualitative Service Factors are defined on the Glossary of Terms tab." xr:uid="{00000000-0004-0000-0100-000000000000}"/>
  </hyperlinks>
  <pageMargins left="0.25" right="0.25" top="0.75" bottom="0.75" header="0.3" footer="0.3"/>
  <pageSetup scale="63" orientation="landscape" r:id="rId1"/>
  <ignoredErrors>
    <ignoredError sqref="K27 J25 K24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100-000001000000}">
          <x14:formula1>
            <xm:f>'Data Values'!$I$2:$I$4</xm:f>
          </x14:formula1>
          <xm:sqref>F23:F37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fitToPage="1"/>
  </sheetPr>
  <dimension ref="A1:AA70"/>
  <sheetViews>
    <sheetView zoomScale="90" zoomScaleNormal="90" workbookViewId="0">
      <selection activeCell="H1" sqref="H1"/>
    </sheetView>
  </sheetViews>
  <sheetFormatPr defaultColWidth="9.140625" defaultRowHeight="12.75" x14ac:dyDescent="0.2"/>
  <cols>
    <col min="1" max="1" width="0.42578125" style="50" customWidth="1"/>
    <col min="2" max="2" width="52.28515625" style="50" customWidth="1"/>
    <col min="3" max="3" width="25.140625" style="50" customWidth="1"/>
    <col min="4" max="4" width="6.85546875" style="50" customWidth="1"/>
    <col min="5" max="5" width="14" style="50" customWidth="1"/>
    <col min="6" max="6" width="2.7109375" style="50" customWidth="1"/>
    <col min="7" max="7" width="0.42578125" style="50" customWidth="1"/>
    <col min="8" max="8" width="12.7109375" style="50" customWidth="1"/>
    <col min="9" max="9" width="0.42578125" style="50" customWidth="1"/>
    <col min="10" max="10" width="2.7109375" style="50" customWidth="1"/>
    <col min="11" max="11" width="14.140625" style="50" customWidth="1"/>
    <col min="12" max="12" width="59.42578125" style="50" customWidth="1"/>
    <col min="13" max="13" width="9.140625" style="50" customWidth="1"/>
    <col min="14" max="14" width="12.5703125" style="50" customWidth="1"/>
    <col min="15" max="15" width="0.42578125" style="50" customWidth="1"/>
    <col min="16" max="16" width="14.140625" style="50" customWidth="1"/>
    <col min="17" max="17" width="50.7109375" style="50" customWidth="1"/>
    <col min="18" max="18" width="25.42578125" style="50" bestFit="1" customWidth="1"/>
    <col min="19" max="19" width="9.140625" style="50"/>
    <col min="20" max="20" width="0.42578125" style="50" customWidth="1"/>
    <col min="21" max="21" width="17.5703125" style="50" customWidth="1"/>
    <col min="22" max="22" width="12.85546875" style="50" customWidth="1"/>
    <col min="23" max="23" width="50.7109375" style="50" customWidth="1"/>
    <col min="24" max="16384" width="9.140625" style="50"/>
  </cols>
  <sheetData>
    <row r="1" spans="1:25" ht="43.5" x14ac:dyDescent="0.2">
      <c r="A1" s="113"/>
      <c r="B1" s="375" t="str">
        <f>CONCATENATE('Cloud Rubric- Factors'!E10,", ",'Cloud Rubric- Factors'!E12)</f>
        <v>(enter text here…), (enter text here…)</v>
      </c>
      <c r="C1" s="375"/>
      <c r="D1" s="375"/>
      <c r="E1" s="118"/>
      <c r="F1" s="117"/>
      <c r="G1" s="116"/>
      <c r="H1" s="124" t="s">
        <v>62</v>
      </c>
      <c r="I1" s="112"/>
      <c r="J1" s="114"/>
      <c r="K1" s="119"/>
      <c r="L1" s="376" t="str">
        <f>'Cloud Rubric- Factors'!E13</f>
        <v>(enter text here…)</v>
      </c>
      <c r="M1" s="377"/>
      <c r="N1" s="377"/>
      <c r="O1" s="377"/>
      <c r="P1" s="377"/>
      <c r="Q1" s="97"/>
      <c r="R1" s="97"/>
      <c r="S1" s="97"/>
      <c r="T1" s="97"/>
      <c r="U1" s="97"/>
      <c r="V1" s="97"/>
      <c r="W1" s="97"/>
      <c r="X1" s="97"/>
      <c r="Y1" s="97"/>
    </row>
    <row r="2" spans="1:25" ht="2.4500000000000002" customHeight="1" x14ac:dyDescent="0.2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97"/>
      <c r="R2" s="97"/>
      <c r="S2" s="97"/>
      <c r="T2" s="97"/>
      <c r="U2" s="97"/>
      <c r="V2" s="97"/>
      <c r="W2" s="97"/>
      <c r="X2" s="97"/>
      <c r="Y2" s="97"/>
    </row>
    <row r="3" spans="1:25" x14ac:dyDescent="0.2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</row>
    <row r="4" spans="1:25" ht="21" x14ac:dyDescent="0.35">
      <c r="A4" s="97"/>
      <c r="B4" s="128" t="str">
        <f>IF(H55&lt;=0,"Solution is more expensive by " &amp; TEXT(H55*-1,"$###,###.#0") &amp; " to move solution to " &amp; L1,"")</f>
        <v>Solution is more expensive by $.0 to move solution to (enter text here…)</v>
      </c>
      <c r="C4" s="128"/>
      <c r="D4" s="127"/>
      <c r="E4" s="97"/>
      <c r="F4" s="97"/>
      <c r="G4" s="97"/>
      <c r="H4" s="126" t="s">
        <v>132</v>
      </c>
      <c r="I4" s="97"/>
      <c r="J4" s="97"/>
      <c r="K4" s="127" t="str">
        <f>IF(H55&gt;0,"UT Savings of "&amp; TEXT(H55,"$###,###.00") &amp;" to move solution to " &amp; L1,"")</f>
        <v/>
      </c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</row>
    <row r="5" spans="1:25" ht="21" x14ac:dyDescent="0.35">
      <c r="A5" s="97"/>
      <c r="B5" s="127"/>
      <c r="C5" s="128"/>
      <c r="D5" s="128"/>
      <c r="E5" s="97"/>
      <c r="F5" s="97"/>
      <c r="G5" s="97"/>
      <c r="H5" s="126"/>
      <c r="I5" s="97"/>
      <c r="J5" s="97"/>
      <c r="K5" s="128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customFormat="1" ht="45" customHeight="1" x14ac:dyDescent="0.25">
      <c r="A6" s="219"/>
      <c r="B6" s="280" t="s">
        <v>129</v>
      </c>
      <c r="C6" s="383" t="s">
        <v>210</v>
      </c>
      <c r="D6" s="383"/>
      <c r="E6" s="383"/>
      <c r="F6" s="383"/>
      <c r="G6" s="383"/>
      <c r="H6" s="383"/>
      <c r="I6" s="383"/>
      <c r="J6" s="383"/>
      <c r="K6" s="383"/>
      <c r="L6" s="383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21" x14ac:dyDescent="0.35">
      <c r="A7" s="97"/>
      <c r="B7" s="127"/>
      <c r="C7" s="128"/>
      <c r="D7" s="127"/>
      <c r="E7" s="97"/>
      <c r="F7" s="97"/>
      <c r="G7" s="97"/>
      <c r="H7" s="126"/>
      <c r="I7" s="97"/>
      <c r="J7" s="97"/>
      <c r="K7" s="12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1:25" ht="23.25" x14ac:dyDescent="0.35">
      <c r="A8" s="97"/>
      <c r="B8" s="382" t="s">
        <v>45</v>
      </c>
      <c r="C8" s="382"/>
      <c r="D8" s="97"/>
      <c r="E8" s="97"/>
      <c r="F8" s="97"/>
      <c r="G8" s="97"/>
      <c r="H8" s="97"/>
      <c r="I8" s="97"/>
      <c r="J8" s="97"/>
      <c r="K8" s="97"/>
      <c r="L8" s="277" t="s">
        <v>225</v>
      </c>
      <c r="M8" s="27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</row>
    <row r="9" spans="1:25" ht="15" customHeight="1" x14ac:dyDescent="0.2">
      <c r="A9" s="97"/>
      <c r="B9" s="335" t="str">
        <f>CONCATENATE("Current State: ",'Cloud Rubric- Factors'!$E$10," - Components and Cost Estimates")</f>
        <v>Current State: (enter text here…) - Components and Cost Estimates</v>
      </c>
      <c r="C9" s="284"/>
      <c r="D9" s="284"/>
      <c r="E9" s="131"/>
      <c r="F9" s="120"/>
      <c r="G9" s="120"/>
      <c r="H9" s="52"/>
      <c r="I9" s="120"/>
      <c r="J9" s="97"/>
      <c r="K9" s="339" t="str">
        <f>CONCATENATE("What is being considered?"," ", 'Cloud Rubric- Factors'!$E$13,"- Components and Cost Estimates")</f>
        <v>What is being considered? (enter text here…)- Components and Cost Estimates</v>
      </c>
      <c r="L9" s="285"/>
      <c r="M9" s="275"/>
      <c r="N9" s="340"/>
      <c r="O9" s="340"/>
      <c r="P9" s="97"/>
      <c r="Q9" s="97"/>
      <c r="R9" s="97"/>
      <c r="S9" s="97"/>
      <c r="T9" s="97"/>
      <c r="U9" s="97"/>
      <c r="V9" s="97"/>
      <c r="W9" s="97"/>
      <c r="X9" s="97"/>
      <c r="Y9" s="97"/>
    </row>
    <row r="10" spans="1:25" ht="15" customHeight="1" x14ac:dyDescent="0.25">
      <c r="A10" s="97"/>
      <c r="B10" s="98" t="s">
        <v>249</v>
      </c>
      <c r="C10" s="276" t="s">
        <v>231</v>
      </c>
      <c r="D10" s="97"/>
      <c r="E10" s="97"/>
      <c r="F10" s="97"/>
      <c r="G10" s="97"/>
      <c r="H10" s="97"/>
      <c r="I10" s="97"/>
      <c r="J10" s="97"/>
      <c r="K10" s="374" t="s">
        <v>251</v>
      </c>
      <c r="L10" s="276" t="s">
        <v>229</v>
      </c>
      <c r="M10" s="276" t="s">
        <v>232</v>
      </c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</row>
    <row r="11" spans="1:25" ht="15" x14ac:dyDescent="0.25">
      <c r="A11" s="97"/>
      <c r="B11" s="276"/>
      <c r="C11" s="97"/>
      <c r="D11" s="97"/>
      <c r="E11" s="97"/>
      <c r="F11" s="97"/>
      <c r="G11" s="97"/>
      <c r="H11" s="97"/>
      <c r="I11" s="97"/>
      <c r="J11" s="97"/>
      <c r="K11" s="374"/>
      <c r="L11" s="276" t="s">
        <v>230</v>
      </c>
      <c r="M11" s="276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</row>
    <row r="12" spans="1:25" ht="20.25" thickBot="1" x14ac:dyDescent="0.35">
      <c r="A12" s="97"/>
      <c r="B12" s="134" t="s">
        <v>137</v>
      </c>
      <c r="C12" s="97"/>
      <c r="D12" s="97"/>
      <c r="E12" s="97"/>
      <c r="F12" s="97"/>
      <c r="G12" s="97"/>
      <c r="H12" s="97"/>
      <c r="I12" s="97"/>
      <c r="J12" s="97"/>
      <c r="K12" s="97"/>
      <c r="L12" s="286"/>
      <c r="M12" s="276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</row>
    <row r="13" spans="1:25" ht="30" customHeight="1" thickTop="1" x14ac:dyDescent="0.2">
      <c r="A13" s="97"/>
      <c r="B13" s="384" t="s">
        <v>250</v>
      </c>
      <c r="C13" s="384"/>
      <c r="D13" s="384"/>
      <c r="E13" s="384"/>
      <c r="F13" s="97"/>
      <c r="G13" s="97"/>
      <c r="H13" s="97"/>
      <c r="I13" s="97"/>
      <c r="J13" s="97"/>
      <c r="K13" s="336" t="s">
        <v>224</v>
      </c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</row>
    <row r="14" spans="1:25" x14ac:dyDescent="0.2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</row>
    <row r="15" spans="1:25" x14ac:dyDescent="0.2">
      <c r="A15" s="97"/>
      <c r="B15" s="97" t="s">
        <v>269</v>
      </c>
      <c r="C15" s="97" t="s">
        <v>56</v>
      </c>
      <c r="D15" s="97" t="s">
        <v>57</v>
      </c>
      <c r="E15" s="97" t="s">
        <v>138</v>
      </c>
      <c r="F15" s="97"/>
      <c r="G15" s="97"/>
      <c r="H15" s="97"/>
      <c r="I15" s="97"/>
      <c r="J15" s="97"/>
      <c r="K15" s="102" t="s">
        <v>138</v>
      </c>
      <c r="L15" s="102" t="s">
        <v>55</v>
      </c>
      <c r="M15" s="122" t="s">
        <v>57</v>
      </c>
      <c r="N15" s="122" t="s">
        <v>46</v>
      </c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</row>
    <row r="16" spans="1:25" x14ac:dyDescent="0.2">
      <c r="A16" s="97"/>
      <c r="B16" s="205"/>
      <c r="C16" s="205">
        <v>0</v>
      </c>
      <c r="D16" s="206">
        <v>0</v>
      </c>
      <c r="E16" s="207">
        <f>C16*D16</f>
        <v>0</v>
      </c>
      <c r="F16" s="97"/>
      <c r="G16" s="97"/>
      <c r="H16" s="385" t="s">
        <v>234</v>
      </c>
      <c r="I16" s="97"/>
      <c r="J16" s="97"/>
      <c r="K16" s="207">
        <f>N16</f>
        <v>0</v>
      </c>
      <c r="L16" s="205"/>
      <c r="M16" s="205"/>
      <c r="N16" s="20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</row>
    <row r="17" spans="1:25" x14ac:dyDescent="0.2">
      <c r="A17" s="97"/>
      <c r="B17" s="205"/>
      <c r="C17" s="205">
        <v>0</v>
      </c>
      <c r="D17" s="206">
        <v>0</v>
      </c>
      <c r="E17" s="207">
        <f>C17*D17</f>
        <v>0</v>
      </c>
      <c r="F17" s="97"/>
      <c r="G17" s="97"/>
      <c r="H17" s="385"/>
      <c r="I17" s="97"/>
      <c r="J17" s="97"/>
      <c r="K17" s="207"/>
      <c r="L17" s="205"/>
      <c r="M17" s="205"/>
      <c r="N17" s="20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</row>
    <row r="18" spans="1:25" x14ac:dyDescent="0.2">
      <c r="A18" s="97"/>
      <c r="B18" s="210"/>
      <c r="C18" s="209">
        <v>0</v>
      </c>
      <c r="D18" s="211">
        <v>0</v>
      </c>
      <c r="E18" s="212">
        <f>C18*D18</f>
        <v>0</v>
      </c>
      <c r="F18" s="97"/>
      <c r="G18" s="97"/>
      <c r="H18" s="385"/>
      <c r="I18" s="97"/>
      <c r="J18" s="97"/>
      <c r="K18" s="212"/>
      <c r="L18" s="215"/>
      <c r="M18" s="209"/>
      <c r="N18" s="212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</row>
    <row r="19" spans="1:25" x14ac:dyDescent="0.2">
      <c r="A19" s="97"/>
      <c r="B19" s="205"/>
      <c r="C19" s="205"/>
      <c r="D19" s="206"/>
      <c r="E19" s="207"/>
      <c r="F19" s="97"/>
      <c r="G19" s="97"/>
      <c r="H19" s="385"/>
      <c r="I19" s="97"/>
      <c r="J19" s="97"/>
      <c r="K19" s="207"/>
      <c r="L19" s="205"/>
      <c r="M19" s="205"/>
      <c r="N19" s="20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</row>
    <row r="20" spans="1:25" x14ac:dyDescent="0.2">
      <c r="A20" s="97"/>
      <c r="B20" s="205"/>
      <c r="C20" s="205"/>
      <c r="D20" s="206"/>
      <c r="E20" s="207"/>
      <c r="F20" s="97"/>
      <c r="G20" s="97"/>
      <c r="H20" s="385"/>
      <c r="I20" s="97"/>
      <c r="J20" s="97"/>
      <c r="K20" s="207"/>
      <c r="L20" s="205"/>
      <c r="M20" s="205"/>
      <c r="N20" s="20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</row>
    <row r="21" spans="1:25" x14ac:dyDescent="0.2">
      <c r="A21" s="97"/>
      <c r="B21" s="205"/>
      <c r="C21" s="205">
        <v>0</v>
      </c>
      <c r="D21" s="206">
        <v>0</v>
      </c>
      <c r="E21" s="207">
        <f>C21*D21</f>
        <v>0</v>
      </c>
      <c r="F21" s="97"/>
      <c r="G21" s="97"/>
      <c r="H21" s="386"/>
      <c r="I21" s="97"/>
      <c r="J21" s="97"/>
      <c r="K21" s="207"/>
      <c r="L21" s="205"/>
      <c r="M21" s="205"/>
      <c r="N21" s="20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</row>
    <row r="22" spans="1:25" ht="15.75" thickBot="1" x14ac:dyDescent="0.3">
      <c r="A22" s="97"/>
      <c r="B22" s="97"/>
      <c r="C22" s="97"/>
      <c r="D22" s="97"/>
      <c r="E22" s="204">
        <f>SUM(E16:E21)</f>
        <v>0</v>
      </c>
      <c r="F22" s="97"/>
      <c r="G22" s="97"/>
      <c r="H22" s="135">
        <f>E22+K22</f>
        <v>0</v>
      </c>
      <c r="I22" s="97"/>
      <c r="J22" s="97"/>
      <c r="K22" s="204">
        <f>SUM(K16:K21)</f>
        <v>0</v>
      </c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</row>
    <row r="23" spans="1:25" ht="5.25" customHeight="1" thickTop="1" x14ac:dyDescent="0.2">
      <c r="A23" s="97"/>
      <c r="B23" s="97"/>
      <c r="C23" s="97"/>
      <c r="D23" s="97"/>
      <c r="E23" s="97"/>
      <c r="F23" s="97"/>
      <c r="G23" s="97"/>
      <c r="H23" s="102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</row>
    <row r="24" spans="1:25" x14ac:dyDescent="0.2">
      <c r="A24" s="97"/>
      <c r="B24" s="97"/>
      <c r="C24" s="97"/>
      <c r="D24" s="97"/>
      <c r="E24" s="97"/>
      <c r="G24" s="97"/>
      <c r="H24" s="125" t="s">
        <v>140</v>
      </c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</row>
    <row r="25" spans="1:25" x14ac:dyDescent="0.2">
      <c r="A25" s="97"/>
      <c r="B25" s="97"/>
      <c r="C25" s="97"/>
      <c r="D25" s="97"/>
      <c r="E25" s="97"/>
      <c r="F25" s="97"/>
      <c r="G25" s="97"/>
      <c r="H25" s="125" t="s">
        <v>141</v>
      </c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</row>
    <row r="26" spans="1:25" ht="20.25" thickBot="1" x14ac:dyDescent="0.35">
      <c r="A26" s="97"/>
      <c r="B26" s="134" t="s">
        <v>139</v>
      </c>
      <c r="C26" s="97"/>
      <c r="D26" s="97"/>
      <c r="E26" s="97"/>
      <c r="F26" s="97"/>
      <c r="G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</row>
    <row r="27" spans="1:25" ht="9" customHeight="1" thickTop="1" x14ac:dyDescent="0.2">
      <c r="A27" s="97"/>
      <c r="B27" s="97"/>
      <c r="C27" s="97"/>
      <c r="D27" s="97"/>
      <c r="E27" s="97"/>
      <c r="F27" s="97"/>
      <c r="G27" s="97"/>
      <c r="H27" s="102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</row>
    <row r="28" spans="1:25" ht="15" customHeight="1" x14ac:dyDescent="0.2">
      <c r="A28" s="97"/>
      <c r="B28" s="335" t="str">
        <f>CONCATENATE("Current State: ",'Cloud Rubric- Factors'!$E$10," - Components and Cost Estimates")</f>
        <v>Current State: (enter text here…) - Components and Cost Estimates</v>
      </c>
      <c r="C28" s="284"/>
      <c r="D28" s="284"/>
      <c r="E28" s="131"/>
      <c r="F28" s="120"/>
      <c r="G28" s="120"/>
      <c r="H28" s="52"/>
      <c r="I28" s="120"/>
      <c r="J28" s="97"/>
      <c r="K28" s="378" t="str">
        <f>CONCATENATE("What is being considered?"," ", 'Cloud Rubric- Factors'!$E$13,"- Components and Cost Estimates")</f>
        <v>What is being considered? (enter text here…)- Components and Cost Estimates</v>
      </c>
      <c r="L28" s="378"/>
      <c r="M28" s="337"/>
      <c r="N28" s="338"/>
      <c r="O28" s="338"/>
      <c r="P28" s="97"/>
      <c r="Q28" s="97"/>
      <c r="R28" s="97"/>
      <c r="S28" s="97"/>
      <c r="T28" s="97"/>
      <c r="U28" s="97"/>
      <c r="V28" s="97"/>
      <c r="W28" s="97"/>
      <c r="X28" s="97"/>
      <c r="Y28" s="97"/>
    </row>
    <row r="29" spans="1:25" s="51" customFormat="1" ht="15" customHeight="1" x14ac:dyDescent="0.2">
      <c r="A29" s="97"/>
      <c r="B29" s="132"/>
      <c r="C29" s="120"/>
      <c r="D29" s="120"/>
      <c r="E29" s="120"/>
      <c r="F29" s="120"/>
      <c r="G29" s="120"/>
      <c r="H29" s="120"/>
      <c r="I29" s="120"/>
      <c r="K29" s="121"/>
      <c r="L29" s="121"/>
      <c r="M29" s="133"/>
      <c r="N29" s="121"/>
      <c r="O29" s="97"/>
      <c r="Q29" s="97"/>
      <c r="R29" s="97"/>
      <c r="S29" s="97"/>
      <c r="T29" s="97"/>
      <c r="U29" s="97"/>
      <c r="V29" s="97"/>
      <c r="W29" s="97"/>
      <c r="X29" s="97"/>
      <c r="Y29" s="97"/>
    </row>
    <row r="30" spans="1:25" ht="2.4500000000000002" customHeight="1" x14ac:dyDescent="0.2">
      <c r="A30" s="97"/>
      <c r="B30" s="97"/>
      <c r="C30" s="123"/>
      <c r="D30" s="123"/>
      <c r="E30" s="80"/>
      <c r="F30" s="80"/>
      <c r="G30" s="80"/>
      <c r="H30" s="123"/>
      <c r="I30" s="82"/>
      <c r="J30" s="82"/>
      <c r="K30" s="82"/>
      <c r="L30" s="123"/>
      <c r="M30" s="123"/>
      <c r="N30" s="122"/>
      <c r="O30" s="97"/>
      <c r="P30" s="97"/>
      <c r="Q30" s="97"/>
      <c r="R30" s="97"/>
      <c r="S30" s="97"/>
      <c r="T30" s="97"/>
      <c r="Y30" s="97"/>
    </row>
    <row r="31" spans="1:25" ht="15" customHeight="1" thickBot="1" x14ac:dyDescent="0.25">
      <c r="A31" s="97"/>
      <c r="B31" s="97" t="s">
        <v>248</v>
      </c>
      <c r="C31" s="50" t="s">
        <v>56</v>
      </c>
      <c r="D31" s="125" t="s">
        <v>57</v>
      </c>
      <c r="E31" s="97" t="s">
        <v>58</v>
      </c>
      <c r="F31" s="97"/>
      <c r="G31" s="79"/>
      <c r="H31" s="97"/>
      <c r="I31" s="83"/>
      <c r="J31" s="97"/>
      <c r="K31" s="308" t="s">
        <v>239</v>
      </c>
      <c r="L31" s="102" t="s">
        <v>236</v>
      </c>
      <c r="M31" s="122" t="s">
        <v>57</v>
      </c>
      <c r="N31" s="102" t="s">
        <v>46</v>
      </c>
      <c r="O31" s="51"/>
      <c r="P31" s="327" t="s">
        <v>240</v>
      </c>
      <c r="Q31" s="97" t="s">
        <v>241</v>
      </c>
      <c r="R31" s="97" t="s">
        <v>57</v>
      </c>
      <c r="S31" s="97" t="s">
        <v>46</v>
      </c>
      <c r="T31" s="97"/>
      <c r="U31" s="328" t="s">
        <v>242</v>
      </c>
      <c r="V31" s="97" t="s">
        <v>243</v>
      </c>
      <c r="W31" s="97" t="s">
        <v>57</v>
      </c>
      <c r="X31" s="97" t="s">
        <v>46</v>
      </c>
      <c r="Y31" s="97"/>
    </row>
    <row r="32" spans="1:25" ht="12.75" customHeight="1" x14ac:dyDescent="0.2">
      <c r="A32" s="51"/>
      <c r="B32" s="205"/>
      <c r="C32" s="205"/>
      <c r="D32" s="206">
        <v>1</v>
      </c>
      <c r="E32" s="207"/>
      <c r="F32" s="104"/>
      <c r="G32" s="89"/>
      <c r="H32" s="379" t="s">
        <v>120</v>
      </c>
      <c r="I32" s="84"/>
      <c r="J32" s="97"/>
      <c r="K32" s="297"/>
      <c r="L32" s="298"/>
      <c r="M32" s="298"/>
      <c r="N32" s="299"/>
      <c r="O32" s="97"/>
      <c r="P32" s="309"/>
      <c r="Q32" s="291"/>
      <c r="R32" s="291">
        <v>1</v>
      </c>
      <c r="S32" s="311"/>
      <c r="T32" s="97"/>
      <c r="U32" s="309">
        <f>12*X32</f>
        <v>0</v>
      </c>
      <c r="V32" s="291"/>
      <c r="W32" s="291">
        <v>1</v>
      </c>
      <c r="X32" s="311"/>
      <c r="Y32" s="97"/>
    </row>
    <row r="33" spans="1:25" x14ac:dyDescent="0.2">
      <c r="A33" s="51"/>
      <c r="B33" s="205"/>
      <c r="C33" s="205"/>
      <c r="D33" s="206">
        <v>1</v>
      </c>
      <c r="E33" s="207"/>
      <c r="F33" s="104"/>
      <c r="G33" s="89"/>
      <c r="H33" s="380"/>
      <c r="I33" s="84"/>
      <c r="J33" s="97"/>
      <c r="K33" s="300"/>
      <c r="L33" s="205"/>
      <c r="M33" s="205"/>
      <c r="N33" s="301"/>
      <c r="O33" s="97"/>
      <c r="P33" s="310"/>
      <c r="Q33" s="290"/>
      <c r="R33" s="290">
        <v>1</v>
      </c>
      <c r="S33" s="312"/>
      <c r="T33" s="97"/>
      <c r="U33" s="310">
        <f>X33</f>
        <v>0</v>
      </c>
      <c r="V33" s="290"/>
      <c r="W33" s="290">
        <v>1</v>
      </c>
      <c r="X33" s="312"/>
      <c r="Y33" s="97"/>
    </row>
    <row r="34" spans="1:25" ht="12.75" customHeight="1" x14ac:dyDescent="0.2">
      <c r="A34" s="51"/>
      <c r="B34" s="205"/>
      <c r="C34" s="205"/>
      <c r="D34" s="206">
        <v>1</v>
      </c>
      <c r="E34" s="207"/>
      <c r="F34" s="104"/>
      <c r="G34" s="89"/>
      <c r="H34" s="380"/>
      <c r="I34" s="84"/>
      <c r="J34" s="97"/>
      <c r="K34" s="300"/>
      <c r="L34" s="205"/>
      <c r="M34" s="205"/>
      <c r="N34" s="301"/>
      <c r="O34" s="97"/>
      <c r="P34" s="310"/>
      <c r="Q34" s="290"/>
      <c r="R34" s="290">
        <v>1</v>
      </c>
      <c r="S34" s="312"/>
      <c r="T34" s="97"/>
      <c r="U34" s="310">
        <f>X34</f>
        <v>0</v>
      </c>
      <c r="V34" s="290"/>
      <c r="W34" s="290">
        <v>1</v>
      </c>
      <c r="X34" s="312"/>
      <c r="Y34" s="97"/>
    </row>
    <row r="35" spans="1:25" ht="12.75" customHeight="1" x14ac:dyDescent="0.2">
      <c r="A35" s="51"/>
      <c r="B35" s="205"/>
      <c r="C35" s="205"/>
      <c r="D35" s="206"/>
      <c r="E35" s="207"/>
      <c r="F35" s="104"/>
      <c r="G35" s="89"/>
      <c r="H35" s="380"/>
      <c r="I35" s="84"/>
      <c r="J35" s="97"/>
      <c r="K35" s="302"/>
      <c r="L35" s="205"/>
      <c r="M35" s="205"/>
      <c r="N35" s="301"/>
      <c r="O35" s="97"/>
      <c r="P35" s="292"/>
      <c r="Q35" s="290"/>
      <c r="R35" s="290"/>
      <c r="S35" s="293"/>
      <c r="T35" s="97"/>
      <c r="U35" s="292"/>
      <c r="V35" s="290"/>
      <c r="W35" s="290"/>
      <c r="X35" s="293"/>
      <c r="Y35" s="97"/>
    </row>
    <row r="36" spans="1:25" x14ac:dyDescent="0.2">
      <c r="A36" s="51"/>
      <c r="B36" s="205"/>
      <c r="C36" s="205"/>
      <c r="D36" s="206">
        <v>1</v>
      </c>
      <c r="E36" s="207">
        <v>0</v>
      </c>
      <c r="F36" s="104"/>
      <c r="G36" s="89"/>
      <c r="H36" s="380"/>
      <c r="I36" s="84"/>
      <c r="J36" s="97"/>
      <c r="K36" s="302"/>
      <c r="L36" s="205"/>
      <c r="M36" s="206"/>
      <c r="N36" s="301"/>
      <c r="O36" s="97"/>
      <c r="P36" s="292"/>
      <c r="Q36" s="290"/>
      <c r="R36" s="290"/>
      <c r="S36" s="293"/>
      <c r="T36" s="97"/>
      <c r="U36" s="292"/>
      <c r="V36" s="290"/>
      <c r="W36" s="290"/>
      <c r="X36" s="293"/>
      <c r="Y36" s="97"/>
    </row>
    <row r="37" spans="1:25" x14ac:dyDescent="0.2">
      <c r="A37" s="51"/>
      <c r="B37" s="205"/>
      <c r="C37" s="205"/>
      <c r="D37" s="206"/>
      <c r="E37" s="213"/>
      <c r="F37" s="105"/>
      <c r="G37" s="90"/>
      <c r="H37" s="380"/>
      <c r="I37" s="85"/>
      <c r="J37" s="97"/>
      <c r="K37" s="303"/>
      <c r="L37" s="205"/>
      <c r="M37" s="213"/>
      <c r="N37" s="301"/>
      <c r="O37" s="97"/>
      <c r="P37" s="292"/>
      <c r="Q37" s="290"/>
      <c r="R37" s="290"/>
      <c r="S37" s="293"/>
      <c r="T37" s="97"/>
      <c r="U37" s="292"/>
      <c r="V37" s="290"/>
      <c r="W37" s="290"/>
      <c r="X37" s="293"/>
      <c r="Y37" s="97"/>
    </row>
    <row r="38" spans="1:25" x14ac:dyDescent="0.2">
      <c r="A38" s="51"/>
      <c r="B38" s="205"/>
      <c r="C38" s="205"/>
      <c r="D38" s="205"/>
      <c r="E38" s="213"/>
      <c r="F38" s="105"/>
      <c r="G38" s="90"/>
      <c r="H38" s="380"/>
      <c r="I38" s="85"/>
      <c r="J38" s="97"/>
      <c r="K38" s="303"/>
      <c r="L38" s="205"/>
      <c r="M38" s="213"/>
      <c r="N38" s="301"/>
      <c r="O38" s="97"/>
      <c r="P38" s="292"/>
      <c r="Q38" s="290"/>
      <c r="R38" s="290"/>
      <c r="S38" s="293"/>
      <c r="T38" s="97"/>
      <c r="U38" s="292"/>
      <c r="V38" s="290"/>
      <c r="W38" s="290"/>
      <c r="X38" s="293"/>
      <c r="Y38" s="97"/>
    </row>
    <row r="39" spans="1:25" ht="13.5" thickBot="1" x14ac:dyDescent="0.25">
      <c r="A39" s="51"/>
      <c r="B39" s="205"/>
      <c r="C39" s="205"/>
      <c r="D39" s="205"/>
      <c r="E39" s="213"/>
      <c r="F39" s="105"/>
      <c r="G39" s="90"/>
      <c r="H39" s="381"/>
      <c r="I39" s="85"/>
      <c r="J39" s="97"/>
      <c r="K39" s="304"/>
      <c r="L39" s="305"/>
      <c r="M39" s="306"/>
      <c r="N39" s="307"/>
      <c r="O39" s="97"/>
      <c r="P39" s="294"/>
      <c r="Q39" s="295"/>
      <c r="R39" s="295"/>
      <c r="S39" s="296"/>
      <c r="T39" s="97"/>
      <c r="U39" s="294"/>
      <c r="V39" s="295"/>
      <c r="W39" s="295"/>
      <c r="X39" s="296"/>
      <c r="Y39" s="97"/>
    </row>
    <row r="40" spans="1:25" ht="15" x14ac:dyDescent="0.25">
      <c r="A40" s="51"/>
      <c r="B40" s="97"/>
      <c r="C40" s="97"/>
      <c r="D40" s="103">
        <f>SUM(D32:D39)</f>
        <v>4</v>
      </c>
      <c r="E40" s="204">
        <f>SUM(E32:E39)</f>
        <v>0</v>
      </c>
      <c r="F40" s="106"/>
      <c r="G40" s="91"/>
      <c r="H40" s="110" t="s">
        <v>62</v>
      </c>
      <c r="I40" s="83"/>
      <c r="J40" s="97"/>
      <c r="K40" s="204">
        <f>SUM(K32:K39)</f>
        <v>0</v>
      </c>
      <c r="L40" s="97"/>
      <c r="M40" s="50">
        <f>SUM(M32:M39)</f>
        <v>0</v>
      </c>
      <c r="N40" s="97"/>
      <c r="O40" s="51"/>
      <c r="P40" s="204">
        <f>SUM(P32:P39)</f>
        <v>0</v>
      </c>
      <c r="Q40" s="97"/>
      <c r="R40" s="51"/>
      <c r="S40" s="97"/>
      <c r="T40" s="97"/>
      <c r="U40" s="204">
        <f>SUM(U32:U39)</f>
        <v>0</v>
      </c>
      <c r="V40" s="51"/>
      <c r="W40" s="51"/>
      <c r="X40" s="97"/>
      <c r="Y40" s="97"/>
    </row>
    <row r="41" spans="1:25" ht="15" customHeight="1" x14ac:dyDescent="0.2">
      <c r="A41" s="51"/>
      <c r="B41" s="97"/>
      <c r="C41" s="97"/>
      <c r="D41" s="97"/>
      <c r="F41" s="97"/>
      <c r="G41" s="79"/>
      <c r="H41" s="97"/>
      <c r="I41" s="83"/>
      <c r="J41" s="97"/>
      <c r="L41" s="97"/>
      <c r="M41" s="101"/>
      <c r="N41" s="102"/>
      <c r="O41" s="97"/>
      <c r="P41" s="51"/>
      <c r="Q41" s="97"/>
      <c r="R41" s="97"/>
      <c r="S41" s="97"/>
      <c r="T41" s="97"/>
      <c r="Y41" s="97"/>
    </row>
    <row r="42" spans="1:25" ht="13.5" thickBot="1" x14ac:dyDescent="0.25">
      <c r="A42" s="51"/>
      <c r="B42" s="97" t="s">
        <v>246</v>
      </c>
      <c r="C42" s="97" t="s">
        <v>56</v>
      </c>
      <c r="D42" s="97" t="s">
        <v>57</v>
      </c>
      <c r="E42" s="97" t="s">
        <v>58</v>
      </c>
      <c r="F42" s="97"/>
      <c r="G42" s="79"/>
      <c r="H42" s="97"/>
      <c r="I42" s="83"/>
      <c r="J42" s="97"/>
      <c r="K42" s="308" t="s">
        <v>239</v>
      </c>
      <c r="L42" s="50" t="s">
        <v>235</v>
      </c>
      <c r="M42" s="50" t="s">
        <v>57</v>
      </c>
      <c r="N42" s="54" t="s">
        <v>46</v>
      </c>
      <c r="O42" s="102"/>
      <c r="P42" s="327" t="s">
        <v>240</v>
      </c>
      <c r="Q42" s="97" t="s">
        <v>244</v>
      </c>
      <c r="R42" s="97" t="s">
        <v>57</v>
      </c>
      <c r="S42" s="97" t="s">
        <v>46</v>
      </c>
      <c r="T42" s="97"/>
      <c r="U42" s="328" t="s">
        <v>242</v>
      </c>
      <c r="V42" s="97" t="s">
        <v>245</v>
      </c>
      <c r="W42" s="97" t="s">
        <v>57</v>
      </c>
      <c r="X42" s="97" t="s">
        <v>46</v>
      </c>
      <c r="Y42" s="97"/>
    </row>
    <row r="43" spans="1:25" ht="69" customHeight="1" thickBot="1" x14ac:dyDescent="0.25">
      <c r="A43" s="51"/>
      <c r="B43" s="208"/>
      <c r="C43" s="216">
        <v>0</v>
      </c>
      <c r="D43" s="208">
        <v>1</v>
      </c>
      <c r="E43" s="217">
        <f>C43*D43</f>
        <v>0</v>
      </c>
      <c r="F43" s="107"/>
      <c r="G43" s="92"/>
      <c r="H43" s="287" t="s">
        <v>123</v>
      </c>
      <c r="I43" s="86"/>
      <c r="J43" s="97"/>
      <c r="K43" s="329">
        <f>N43</f>
        <v>0</v>
      </c>
      <c r="L43" s="341"/>
      <c r="M43" s="330">
        <v>0</v>
      </c>
      <c r="N43" s="334">
        <v>0</v>
      </c>
      <c r="O43" s="51"/>
      <c r="P43" s="321"/>
      <c r="Q43" s="331"/>
      <c r="R43" s="331">
        <v>1</v>
      </c>
      <c r="S43" s="332"/>
      <c r="T43" s="333"/>
      <c r="U43" s="321"/>
      <c r="V43" s="331"/>
      <c r="W43" s="331">
        <v>1</v>
      </c>
      <c r="X43" s="332"/>
      <c r="Y43" s="97"/>
    </row>
    <row r="44" spans="1:25" ht="15" x14ac:dyDescent="0.25">
      <c r="A44" s="51"/>
      <c r="C44" s="97"/>
      <c r="D44" s="97"/>
      <c r="E44" s="214">
        <f>SUM(E43)</f>
        <v>0</v>
      </c>
      <c r="F44" s="108"/>
      <c r="G44" s="81"/>
      <c r="H44" s="110" t="s">
        <v>62</v>
      </c>
      <c r="I44" s="87"/>
      <c r="J44" s="97"/>
      <c r="K44" s="214">
        <f>SUM(K43)</f>
        <v>0</v>
      </c>
      <c r="M44" s="97"/>
      <c r="N44" s="97"/>
      <c r="O44" s="97"/>
      <c r="P44" s="214">
        <f>SUM(P43)</f>
        <v>0</v>
      </c>
      <c r="Q44" s="106"/>
      <c r="R44" s="97"/>
      <c r="S44" s="51"/>
      <c r="T44" s="97"/>
      <c r="U44" s="214">
        <f>SUM(U43)</f>
        <v>0</v>
      </c>
      <c r="V44" s="106"/>
      <c r="W44" s="97"/>
      <c r="X44" s="97"/>
      <c r="Y44" s="97"/>
    </row>
    <row r="45" spans="1:25" x14ac:dyDescent="0.2">
      <c r="A45" s="51"/>
      <c r="B45" s="97"/>
      <c r="C45" s="97"/>
      <c r="E45" s="97"/>
      <c r="F45" s="97"/>
      <c r="G45" s="79"/>
      <c r="H45" s="97"/>
      <c r="I45" s="83"/>
      <c r="J45" s="97"/>
      <c r="K45" s="97"/>
      <c r="L45" s="97"/>
      <c r="M45" s="97"/>
      <c r="N45" s="97"/>
      <c r="P45" s="97"/>
      <c r="Q45" s="97"/>
      <c r="R45" s="97"/>
      <c r="S45" s="97"/>
      <c r="T45" s="97"/>
      <c r="U45" s="97"/>
      <c r="V45" s="97"/>
      <c r="W45" s="97"/>
      <c r="X45" s="97"/>
      <c r="Y45" s="97"/>
    </row>
    <row r="46" spans="1:25" ht="13.5" thickBot="1" x14ac:dyDescent="0.25">
      <c r="A46" s="51"/>
      <c r="B46" s="97" t="s">
        <v>247</v>
      </c>
      <c r="C46" s="50" t="s">
        <v>56</v>
      </c>
      <c r="D46" s="97" t="s">
        <v>57</v>
      </c>
      <c r="E46" s="97" t="s">
        <v>58</v>
      </c>
      <c r="F46" s="97"/>
      <c r="G46" s="79"/>
      <c r="H46" s="97"/>
      <c r="I46" s="83"/>
      <c r="J46" s="97"/>
      <c r="K46" s="308" t="s">
        <v>58</v>
      </c>
      <c r="L46" s="97" t="s">
        <v>237</v>
      </c>
      <c r="M46" s="97" t="s">
        <v>57</v>
      </c>
      <c r="N46" s="50" t="s">
        <v>46</v>
      </c>
      <c r="O46" s="97"/>
      <c r="P46" s="327" t="s">
        <v>58</v>
      </c>
      <c r="Q46" s="97" t="s">
        <v>237</v>
      </c>
      <c r="R46" s="97" t="s">
        <v>57</v>
      </c>
      <c r="S46" s="50" t="s">
        <v>46</v>
      </c>
      <c r="T46" s="97"/>
      <c r="U46" s="328" t="s">
        <v>58</v>
      </c>
      <c r="V46" s="97" t="s">
        <v>237</v>
      </c>
      <c r="W46" s="97" t="s">
        <v>57</v>
      </c>
      <c r="X46" s="50" t="s">
        <v>46</v>
      </c>
      <c r="Y46" s="97"/>
    </row>
    <row r="47" spans="1:25" ht="55.5" customHeight="1" x14ac:dyDescent="0.2">
      <c r="A47" s="51"/>
      <c r="B47" s="215"/>
      <c r="C47" s="212">
        <v>0</v>
      </c>
      <c r="D47" s="209">
        <v>1</v>
      </c>
      <c r="E47" s="212">
        <v>0</v>
      </c>
      <c r="F47" s="109"/>
      <c r="G47" s="93"/>
      <c r="H47" s="288" t="s">
        <v>238</v>
      </c>
      <c r="I47" s="88"/>
      <c r="J47" s="17"/>
      <c r="K47" s="313">
        <f>N47</f>
        <v>0</v>
      </c>
      <c r="L47" s="319"/>
      <c r="M47" s="314">
        <v>0</v>
      </c>
      <c r="N47" s="315">
        <f>(((73000+(73000*0.3))/2080)*M47)</f>
        <v>0</v>
      </c>
      <c r="O47" s="51"/>
      <c r="P47" s="321">
        <f>T47</f>
        <v>0</v>
      </c>
      <c r="Q47" s="322"/>
      <c r="R47" s="322"/>
      <c r="S47" s="323">
        <v>0</v>
      </c>
      <c r="T47" s="109"/>
      <c r="U47" s="321">
        <f>Y47</f>
        <v>0</v>
      </c>
      <c r="V47" s="322"/>
      <c r="W47" s="322"/>
      <c r="X47" s="323">
        <v>0</v>
      </c>
      <c r="Y47" s="97"/>
    </row>
    <row r="48" spans="1:25" ht="55.5" customHeight="1" thickBot="1" x14ac:dyDescent="0.25">
      <c r="A48" s="51"/>
      <c r="B48" s="215"/>
      <c r="C48" s="212">
        <v>0</v>
      </c>
      <c r="D48" s="209">
        <v>0</v>
      </c>
      <c r="E48" s="212">
        <v>0</v>
      </c>
      <c r="F48" s="109"/>
      <c r="G48" s="93"/>
      <c r="H48" s="289" t="s">
        <v>128</v>
      </c>
      <c r="I48" s="88"/>
      <c r="J48" s="17"/>
      <c r="K48" s="316">
        <v>0</v>
      </c>
      <c r="L48" s="320"/>
      <c r="M48" s="317" t="s">
        <v>63</v>
      </c>
      <c r="N48" s="318">
        <v>0</v>
      </c>
      <c r="O48" s="97"/>
      <c r="P48" s="324">
        <v>0</v>
      </c>
      <c r="Q48" s="325"/>
      <c r="R48" s="325"/>
      <c r="S48" s="326" t="s">
        <v>63</v>
      </c>
      <c r="T48" s="109"/>
      <c r="U48" s="324">
        <v>0</v>
      </c>
      <c r="V48" s="325"/>
      <c r="W48" s="325"/>
      <c r="X48" s="326" t="s">
        <v>63</v>
      </c>
      <c r="Y48" s="97"/>
    </row>
    <row r="49" spans="1:25" ht="15" x14ac:dyDescent="0.25">
      <c r="A49" s="97"/>
      <c r="B49" s="97"/>
      <c r="C49" s="97"/>
      <c r="D49" s="97"/>
      <c r="E49" s="218">
        <f>SUM(E47:E48)</f>
        <v>0</v>
      </c>
      <c r="F49" s="108"/>
      <c r="G49" s="81"/>
      <c r="H49" s="110" t="s">
        <v>62</v>
      </c>
      <c r="I49" s="87"/>
      <c r="J49" s="97"/>
      <c r="K49" s="218">
        <f>SUM(K47:K48)</f>
        <v>0</v>
      </c>
      <c r="L49" s="97"/>
      <c r="M49" s="97"/>
      <c r="N49" s="97"/>
      <c r="O49" s="97"/>
      <c r="P49" s="218">
        <f>SUM(P47:P48)</f>
        <v>0</v>
      </c>
      <c r="Q49" s="108"/>
      <c r="R49" s="97"/>
      <c r="S49" s="97"/>
      <c r="T49" s="97"/>
      <c r="U49" s="218">
        <f>SUM(U47:U48)</f>
        <v>0</v>
      </c>
      <c r="V49" s="108"/>
      <c r="W49" s="97"/>
      <c r="X49" s="97"/>
      <c r="Y49" s="97"/>
    </row>
    <row r="50" spans="1:25" ht="15" x14ac:dyDescent="0.25">
      <c r="A50" s="51"/>
      <c r="B50" s="97"/>
      <c r="C50" s="97"/>
      <c r="D50" s="97"/>
      <c r="E50" s="106">
        <f>SUM(E40,E44,E49)</f>
        <v>0</v>
      </c>
      <c r="F50" s="108"/>
      <c r="G50" s="81"/>
      <c r="H50" s="108"/>
      <c r="I50" s="87"/>
      <c r="J50" s="97"/>
      <c r="K50" s="342">
        <f>SUM(K40,K44,K49)</f>
        <v>0</v>
      </c>
      <c r="L50" s="97"/>
      <c r="M50" s="97"/>
      <c r="N50" s="97"/>
      <c r="O50" s="97"/>
      <c r="P50" s="342">
        <f>SUM(P40,P44,P49)</f>
        <v>0</v>
      </c>
      <c r="Q50" s="342"/>
      <c r="R50" s="97"/>
      <c r="S50" s="97"/>
      <c r="T50" s="97"/>
      <c r="U50" s="342">
        <f>SUM(U40,U44,U49)</f>
        <v>0</v>
      </c>
      <c r="V50" s="97"/>
      <c r="W50" s="97"/>
      <c r="X50" s="97"/>
      <c r="Y50" s="97"/>
    </row>
    <row r="51" spans="1:25" ht="2.4500000000000002" customHeight="1" x14ac:dyDescent="0.25">
      <c r="A51" s="51"/>
      <c r="B51" s="51"/>
      <c r="C51" s="51"/>
      <c r="D51" s="51"/>
      <c r="E51" s="81"/>
      <c r="F51" s="81"/>
      <c r="G51" s="81"/>
      <c r="H51" s="108"/>
      <c r="I51" s="87"/>
      <c r="J51" s="83"/>
      <c r="K51" s="83"/>
      <c r="L51" s="51"/>
      <c r="M51" s="51"/>
      <c r="N51" s="51"/>
      <c r="O51" s="51"/>
      <c r="P51" s="97"/>
      <c r="Q51" s="97"/>
      <c r="R51" s="97"/>
      <c r="S51" s="97"/>
      <c r="T51" s="97"/>
      <c r="U51" s="97"/>
      <c r="V51" s="97"/>
      <c r="W51" s="97"/>
      <c r="X51" s="97"/>
      <c r="Y51" s="97"/>
    </row>
    <row r="52" spans="1:25" x14ac:dyDescent="0.2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</row>
    <row r="53" spans="1:25" ht="15.75" thickBot="1" x14ac:dyDescent="0.3">
      <c r="A53" s="97"/>
      <c r="B53" s="97"/>
      <c r="C53" s="98"/>
      <c r="D53" s="50" t="s">
        <v>126</v>
      </c>
      <c r="E53" s="78">
        <f>SUM(E40,E44,E49)</f>
        <v>0</v>
      </c>
      <c r="F53"/>
      <c r="G53" s="99"/>
      <c r="H53" s="111" t="s">
        <v>62</v>
      </c>
      <c r="I53" s="1"/>
      <c r="K53" s="78">
        <f>IF((AND(K57&gt;0,K58&gt;0,K59&gt;0)),MIN(K57:K59),IF((AND(K57&gt;0,K58&gt;0,K59&lt;=0)),MIN(K57:K58),IF((AND(K57&gt;0,K58&lt;=0,K59&gt;0)),MIN(K57,K59),IF((AND(K57&lt;=0,K58&gt;0,K59&gt;0)),MIN(K58:K59),IF((AND(K57&gt;0,K58&lt;=0,K59&lt;=0)),K50,IF((AND(K57&lt;=0,K58&gt;0,K59&lt;=0)),P50,IF((AND(K57&lt;=0,K58&lt;=0,K59&gt;0)),U50,0)))))))</f>
        <v>0</v>
      </c>
      <c r="L53" s="97" t="str">
        <f>VLOOKUP($K$53,$K$57:$L$59,2,FALSE)</f>
        <v>AWS Cost Estimate</v>
      </c>
      <c r="M53" s="97"/>
      <c r="N53" s="97"/>
      <c r="O53" s="97"/>
      <c r="P53" s="99"/>
      <c r="Q53" s="97"/>
      <c r="R53" s="97"/>
      <c r="S53" s="97"/>
      <c r="T53" s="97"/>
      <c r="U53" s="99"/>
      <c r="V53" s="97"/>
      <c r="W53" s="97"/>
      <c r="X53" s="97"/>
      <c r="Y53" s="97"/>
    </row>
    <row r="54" spans="1:25" ht="13.5" thickTop="1" x14ac:dyDescent="0.2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</row>
    <row r="55" spans="1:25" ht="15.75" x14ac:dyDescent="0.25">
      <c r="A55" s="97"/>
      <c r="B55" s="97"/>
      <c r="D55" s="97"/>
      <c r="E55" s="95" t="str">
        <f>IF(H55&gt;0, "More expensive to stay with " &amp; B1, "Cost savings for UT to continue with " &amp; B1)</f>
        <v>Cost savings for UT to continue with (enter text here…), (enter text here…)</v>
      </c>
      <c r="F55" s="97"/>
      <c r="H55" s="96">
        <f>E53-K53</f>
        <v>0</v>
      </c>
      <c r="J55" s="97"/>
      <c r="K55" s="94" t="str">
        <f>IF(H55&lt;=0, "More expensive: Cost increase for UT to move to " &amp; L1, "Cheaper: Cost savings for UT to move to " &amp; L1)</f>
        <v>More expensive: Cost increase for UT to move to (enter text here…)</v>
      </c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</row>
    <row r="56" spans="1:25" x14ac:dyDescent="0.2">
      <c r="A56" s="97"/>
      <c r="B56" s="97"/>
      <c r="C56" s="97"/>
      <c r="D56" s="97"/>
      <c r="E56" s="98"/>
      <c r="F56" s="97"/>
      <c r="G56" s="97"/>
      <c r="H56" s="97"/>
      <c r="I56" s="97"/>
      <c r="J56" s="97"/>
      <c r="K56" s="100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</row>
    <row r="57" spans="1:25" x14ac:dyDescent="0.2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343">
        <f>K50</f>
        <v>0</v>
      </c>
      <c r="L57" s="344" t="s">
        <v>252</v>
      </c>
      <c r="M57" s="129"/>
      <c r="N57" s="130"/>
      <c r="O57" s="109"/>
      <c r="P57" s="102"/>
      <c r="Q57" s="97"/>
      <c r="R57" s="97"/>
      <c r="S57" s="97"/>
      <c r="T57" s="97"/>
      <c r="U57" s="97"/>
      <c r="V57" s="97"/>
      <c r="W57" s="97"/>
      <c r="X57" s="97"/>
      <c r="Y57" s="97"/>
    </row>
    <row r="58" spans="1:25" x14ac:dyDescent="0.2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344">
        <f>P50</f>
        <v>0</v>
      </c>
      <c r="L58" s="97" t="s">
        <v>253</v>
      </c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</row>
    <row r="59" spans="1:25" x14ac:dyDescent="0.2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344">
        <f>U50</f>
        <v>0</v>
      </c>
      <c r="L59" s="97" t="s">
        <v>254</v>
      </c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</row>
    <row r="60" spans="1:25" x14ac:dyDescent="0.2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344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</row>
    <row r="61" spans="1:25" x14ac:dyDescent="0.2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344">
        <f>MIN(K57:K59)</f>
        <v>0</v>
      </c>
      <c r="L61" s="97" t="s">
        <v>262</v>
      </c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</row>
    <row r="62" spans="1:25" x14ac:dyDescent="0.2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344">
        <f>MAX(K57:K59)</f>
        <v>0</v>
      </c>
      <c r="L62" s="97" t="s">
        <v>263</v>
      </c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</row>
    <row r="63" spans="1:25" x14ac:dyDescent="0.2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344">
        <f>AVERAGE(K57:K59)</f>
        <v>0</v>
      </c>
      <c r="L63" s="97" t="s">
        <v>264</v>
      </c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</row>
    <row r="64" spans="1:25" x14ac:dyDescent="0.2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344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</row>
    <row r="65" spans="1:27" x14ac:dyDescent="0.2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345" t="e">
        <f>(E53-K53)/((E53+K53)/2)</f>
        <v>#DIV/0!</v>
      </c>
      <c r="L65" s="97" t="s">
        <v>256</v>
      </c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</row>
    <row r="66" spans="1:27" x14ac:dyDescent="0.2">
      <c r="A66" s="97"/>
      <c r="B66" s="97"/>
      <c r="C66" s="97" t="s">
        <v>259</v>
      </c>
      <c r="D66" s="97"/>
      <c r="E66" s="345" t="e">
        <f>($K$53-$E$53)/$K$53</f>
        <v>#DIV/0!</v>
      </c>
      <c r="F66" s="97"/>
      <c r="G66" s="97"/>
      <c r="H66" s="97"/>
      <c r="I66" s="97"/>
      <c r="J66" s="97"/>
      <c r="K66" s="345" t="e">
        <f>($E$53-$K$53)/$E$53</f>
        <v>#DIV/0!</v>
      </c>
      <c r="L66" s="97" t="s">
        <v>255</v>
      </c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</row>
    <row r="67" spans="1:27" x14ac:dyDescent="0.2">
      <c r="A67" s="97"/>
      <c r="B67" s="97"/>
      <c r="C67" s="97" t="s">
        <v>258</v>
      </c>
      <c r="D67" s="97"/>
      <c r="E67" s="348" t="e">
        <f>E53/K53</f>
        <v>#DIV/0!</v>
      </c>
      <c r="F67" s="97"/>
      <c r="G67" s="97"/>
      <c r="H67" s="97"/>
      <c r="I67" s="97"/>
      <c r="J67" s="97"/>
      <c r="K67" s="345" t="e">
        <f>K53/E53</f>
        <v>#DIV/0!</v>
      </c>
      <c r="L67" s="97" t="s">
        <v>257</v>
      </c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</row>
    <row r="68" spans="1:27" x14ac:dyDescent="0.2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</row>
    <row r="70" spans="1:27" x14ac:dyDescent="0.2">
      <c r="E70" s="346"/>
      <c r="K70" s="347"/>
    </row>
  </sheetData>
  <mergeCells count="9">
    <mergeCell ref="K10:K11"/>
    <mergeCell ref="B1:D1"/>
    <mergeCell ref="L1:P1"/>
    <mergeCell ref="K28:L28"/>
    <mergeCell ref="H32:H39"/>
    <mergeCell ref="B8:C8"/>
    <mergeCell ref="C6:L6"/>
    <mergeCell ref="B13:E13"/>
    <mergeCell ref="H16:H21"/>
  </mergeCells>
  <hyperlinks>
    <hyperlink ref="L10" r:id="rId1" xr:uid="{00000000-0004-0000-0200-000000000000}"/>
    <hyperlink ref="M10" r:id="rId2" xr:uid="{00000000-0004-0000-0200-000001000000}"/>
    <hyperlink ref="C10" r:id="rId3" xr:uid="{00000000-0004-0000-0200-000002000000}"/>
    <hyperlink ref="L11" r:id="rId4" xr:uid="{00000000-0004-0000-0200-000003000000}"/>
  </hyperlinks>
  <pageMargins left="0.25" right="0.25" top="0.75" bottom="0.75" header="0.3" footer="0.3"/>
  <pageSetup scale="44" fitToHeight="0" orientation="landscape" r:id="rId5"/>
  <drawing r:id="rId6"/>
  <legacy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</sheetPr>
  <dimension ref="A1:X56"/>
  <sheetViews>
    <sheetView zoomScaleNormal="100" workbookViewId="0">
      <selection activeCell="C12" sqref="C12:F12"/>
    </sheetView>
  </sheetViews>
  <sheetFormatPr defaultRowHeight="15" x14ac:dyDescent="0.25"/>
  <cols>
    <col min="1" max="1" width="2.42578125" customWidth="1"/>
    <col min="2" max="2" width="36.85546875" customWidth="1"/>
    <col min="3" max="3" width="31.42578125" customWidth="1"/>
    <col min="4" max="4" width="23.140625" customWidth="1"/>
    <col min="5" max="5" width="20.140625" customWidth="1"/>
    <col min="6" max="6" width="19.28515625" customWidth="1"/>
    <col min="7" max="7" width="18.7109375" customWidth="1"/>
    <col min="8" max="8" width="32.28515625" customWidth="1"/>
    <col min="9" max="9" width="10.85546875" customWidth="1"/>
    <col min="10" max="10" width="20.140625" hidden="1" customWidth="1"/>
    <col min="11" max="11" width="18.42578125" hidden="1" customWidth="1"/>
    <col min="12" max="12" width="11.5703125" hidden="1" customWidth="1"/>
    <col min="13" max="13" width="15.140625" hidden="1" customWidth="1"/>
    <col min="14" max="14" width="10.5703125" bestFit="1" customWidth="1"/>
    <col min="15" max="15" width="36.85546875" bestFit="1" customWidth="1"/>
    <col min="16" max="16" width="9.42578125" bestFit="1" customWidth="1"/>
    <col min="17" max="17" width="11.28515625" bestFit="1" customWidth="1"/>
    <col min="18" max="18" width="13.42578125" bestFit="1" customWidth="1"/>
    <col min="19" max="19" width="10" bestFit="1" customWidth="1"/>
    <col min="20" max="20" width="6.28515625" customWidth="1"/>
    <col min="21" max="21" width="38.140625" bestFit="1" customWidth="1"/>
    <col min="22" max="22" width="41.7109375" bestFit="1" customWidth="1"/>
    <col min="23" max="23" width="36.85546875" bestFit="1" customWidth="1"/>
    <col min="24" max="24" width="34.28515625" bestFit="1" customWidth="1"/>
  </cols>
  <sheetData>
    <row r="1" spans="1:13" ht="48.75" customHeight="1" thickBot="1" x14ac:dyDescent="0.4">
      <c r="A1" s="25"/>
      <c r="B1" s="172" t="s">
        <v>199</v>
      </c>
      <c r="C1" s="1"/>
      <c r="D1" s="1"/>
      <c r="E1" s="1"/>
      <c r="F1" s="1"/>
      <c r="G1" s="1"/>
      <c r="H1" s="1"/>
    </row>
    <row r="2" spans="1:13" ht="23.25" x14ac:dyDescent="0.35">
      <c r="A2" s="1"/>
      <c r="B2" s="153"/>
      <c r="C2" s="154"/>
      <c r="D2" s="154"/>
      <c r="E2" s="154"/>
      <c r="F2" s="154"/>
      <c r="G2" s="154"/>
      <c r="H2" s="155"/>
      <c r="I2" s="1"/>
    </row>
    <row r="3" spans="1:13" ht="15.75" thickBot="1" x14ac:dyDescent="0.3">
      <c r="A3" s="1"/>
      <c r="B3" s="158" t="s">
        <v>152</v>
      </c>
      <c r="C3" s="142"/>
      <c r="D3" s="142"/>
      <c r="E3" s="148" t="s">
        <v>190</v>
      </c>
      <c r="F3" s="195" t="e">
        <f>SUM(F5:F7)</f>
        <v>#DIV/0!</v>
      </c>
      <c r="G3" s="142" t="s">
        <v>260</v>
      </c>
      <c r="H3" s="159"/>
      <c r="I3" s="1"/>
    </row>
    <row r="4" spans="1:13" ht="3.75" customHeight="1" x14ac:dyDescent="0.25">
      <c r="A4" s="1"/>
      <c r="B4" s="156"/>
      <c r="C4" s="25"/>
      <c r="D4" s="25"/>
      <c r="E4" s="25"/>
      <c r="F4" s="25"/>
      <c r="G4" s="25"/>
      <c r="H4" s="157"/>
      <c r="I4" s="1"/>
    </row>
    <row r="5" spans="1:13" ht="15" customHeight="1" x14ac:dyDescent="0.25">
      <c r="A5" s="1"/>
      <c r="B5" s="160" t="s">
        <v>153</v>
      </c>
      <c r="C5" s="149" t="str">
        <f>'Cloud Rubric- Factors'!E8</f>
        <v>(enter text here…)</v>
      </c>
      <c r="D5" s="149"/>
      <c r="E5" s="196" t="s">
        <v>191</v>
      </c>
      <c r="F5" s="199">
        <f>IF('Cloud Rubric- Factors'!$J$39=0,$K$8*100,(($K$8-((1/3)*'Cloud Rubric- Factors'!$J$39)*$K$8)*100))</f>
        <v>33</v>
      </c>
      <c r="G5" s="197" t="s">
        <v>233</v>
      </c>
      <c r="H5" s="161"/>
      <c r="I5" s="1"/>
      <c r="J5" s="166"/>
    </row>
    <row r="6" spans="1:13" x14ac:dyDescent="0.25">
      <c r="A6" s="1"/>
      <c r="B6" s="160" t="s">
        <v>154</v>
      </c>
      <c r="C6" s="149" t="str">
        <f>'Cloud Rubric- Factors'!E9</f>
        <v>(enter text here…)</v>
      </c>
      <c r="D6" s="149"/>
      <c r="E6" s="196" t="s">
        <v>192</v>
      </c>
      <c r="F6" s="200">
        <f>(((1/8)*'Cloud Rubric- Factors'!$K$39)*$K$11)*100</f>
        <v>0</v>
      </c>
      <c r="G6" s="197" t="s">
        <v>194</v>
      </c>
      <c r="H6" s="161"/>
      <c r="I6" s="1"/>
    </row>
    <row r="7" spans="1:13" x14ac:dyDescent="0.25">
      <c r="A7" s="1"/>
      <c r="B7" s="160" t="s">
        <v>155</v>
      </c>
      <c r="C7" s="151" t="str">
        <f>CONCATENATE('Cloud Rubric- Factors'!E10," vs. ",'Cloud Rubric- Factors'!E13,)</f>
        <v>(enter text here…) vs. (enter text here…)</v>
      </c>
      <c r="D7" s="150"/>
      <c r="E7" s="196" t="s">
        <v>193</v>
      </c>
      <c r="F7" s="349" t="e">
        <f>IF($G$43&lt;=$F$43,(($K$9*100)*'Cloud Rubric- TCO Evaluation'!K66),0)</f>
        <v>#DIV/0!</v>
      </c>
      <c r="G7" s="197" t="s">
        <v>261</v>
      </c>
      <c r="H7" s="157"/>
      <c r="I7" s="1"/>
      <c r="K7" s="174" t="s">
        <v>11</v>
      </c>
      <c r="L7" t="s">
        <v>188</v>
      </c>
      <c r="M7" s="174" t="s">
        <v>189</v>
      </c>
    </row>
    <row r="8" spans="1:13" x14ac:dyDescent="0.25">
      <c r="A8" s="1"/>
      <c r="B8" s="162"/>
      <c r="C8" s="151"/>
      <c r="D8" s="150"/>
      <c r="E8" s="25"/>
      <c r="F8" s="198"/>
      <c r="G8" s="102" t="str">
        <f>CONCATENATE('Cloud Rubric- TCO Evaluation'!$B$4,'Cloud Rubric- TCO Evaluation'!$K$4)</f>
        <v>Solution is more expensive by $.0 to move solution to (enter text here…)</v>
      </c>
      <c r="H8" s="157"/>
      <c r="I8" s="1"/>
      <c r="J8" t="s">
        <v>186</v>
      </c>
      <c r="K8" s="192">
        <v>0.33</v>
      </c>
      <c r="L8" s="193">
        <f>IF('Cloud Rubric- Factors'!$J$39=0,0,(((1/3)*'Cloud Rubric- Factors'!$J$39)*$K$8))</f>
        <v>0</v>
      </c>
      <c r="M8" s="194">
        <f>IF('Cloud Rubric- Factors'!$J$39=0,K8,(K8-((1/3)*'Cloud Rubric- Factors'!$J$39)*$K$8))</f>
        <v>0.33</v>
      </c>
    </row>
    <row r="9" spans="1:13" x14ac:dyDescent="0.25">
      <c r="A9" s="1"/>
      <c r="B9" s="156"/>
      <c r="C9" s="350"/>
      <c r="D9" s="25"/>
      <c r="E9" s="25"/>
      <c r="F9" s="25"/>
      <c r="G9" s="102" t="str">
        <f>CONCATENATE('Cloud Rubric- TCO Evaluation'!$L$53," was the lowest")</f>
        <v>AWS Cost Estimate was the lowest</v>
      </c>
      <c r="H9" s="157"/>
      <c r="I9" s="1"/>
      <c r="J9" t="s">
        <v>185</v>
      </c>
      <c r="K9" s="192">
        <v>0.33</v>
      </c>
      <c r="L9" s="193">
        <f>IF($G$43&gt;$F$43,$K$9,0)</f>
        <v>0</v>
      </c>
      <c r="M9" s="194">
        <f>IF($G$43&lt;=$F$43,$K$9,0)</f>
        <v>0.33</v>
      </c>
    </row>
    <row r="10" spans="1:13" ht="15" customHeight="1" thickBot="1" x14ac:dyDescent="0.3">
      <c r="A10" s="1"/>
      <c r="B10" s="158" t="s">
        <v>182</v>
      </c>
      <c r="C10" s="142"/>
      <c r="D10" s="142"/>
      <c r="E10" s="142"/>
      <c r="F10" s="142"/>
      <c r="G10" s="142"/>
      <c r="H10" s="159"/>
      <c r="I10" s="1"/>
      <c r="L10" s="193"/>
      <c r="M10" s="193"/>
    </row>
    <row r="11" spans="1:13" x14ac:dyDescent="0.25">
      <c r="A11" s="1"/>
      <c r="B11" s="156"/>
      <c r="C11" s="25"/>
      <c r="D11" s="25"/>
      <c r="E11" s="25"/>
      <c r="F11" s="25"/>
      <c r="G11" s="25"/>
      <c r="H11" s="157"/>
      <c r="I11" s="1"/>
      <c r="J11" t="s">
        <v>187</v>
      </c>
      <c r="K11" s="192">
        <v>0.34</v>
      </c>
      <c r="L11" s="193">
        <f>$K$11-(((1/8)*'Cloud Rubric- Factors'!$K$39)*$K$11)</f>
        <v>0.34</v>
      </c>
      <c r="M11" s="194">
        <f>((1/8)*'Cloud Rubric- Factors'!$K$39)*$K$11</f>
        <v>0</v>
      </c>
    </row>
    <row r="12" spans="1:13" ht="69.95" customHeight="1" x14ac:dyDescent="0.25">
      <c r="A12" s="1"/>
      <c r="B12" s="190" t="s">
        <v>195</v>
      </c>
      <c r="C12" s="387" t="s">
        <v>268</v>
      </c>
      <c r="D12" s="388"/>
      <c r="E12" s="388"/>
      <c r="F12" s="389"/>
      <c r="G12" s="152" t="str">
        <f>CONCATENATE(" ",'Cloud Rubric- Factors'!J45)</f>
        <v xml:space="preserve"> </v>
      </c>
      <c r="H12" s="161"/>
      <c r="I12" s="1"/>
      <c r="K12" s="174"/>
      <c r="L12" s="193"/>
      <c r="M12" s="194"/>
    </row>
    <row r="13" spans="1:13" x14ac:dyDescent="0.25">
      <c r="A13" s="1"/>
      <c r="B13" s="156"/>
      <c r="C13" s="25"/>
      <c r="D13" s="25"/>
      <c r="E13" s="25"/>
      <c r="F13" s="25"/>
      <c r="G13" s="25"/>
      <c r="H13" s="157"/>
      <c r="I13" s="1"/>
      <c r="K13" s="192">
        <f>SUM(K8:K11)</f>
        <v>1</v>
      </c>
      <c r="L13" s="193">
        <f>SUM(L8:L11)</f>
        <v>0.34</v>
      </c>
      <c r="M13" s="194">
        <f>SUM(M8:M11)</f>
        <v>0.66</v>
      </c>
    </row>
    <row r="14" spans="1:13" ht="15.75" thickBot="1" x14ac:dyDescent="0.3">
      <c r="A14" s="1"/>
      <c r="B14" s="158" t="s">
        <v>159</v>
      </c>
      <c r="C14" s="25"/>
      <c r="D14" s="25"/>
      <c r="E14" s="25"/>
      <c r="F14" s="25"/>
      <c r="G14" s="25"/>
      <c r="H14" s="157"/>
      <c r="I14" s="1"/>
      <c r="L14" s="193">
        <f>1-L8-L9-L11</f>
        <v>0.65999999999999992</v>
      </c>
    </row>
    <row r="15" spans="1:13" ht="3.75" customHeight="1" x14ac:dyDescent="0.25">
      <c r="A15" s="1"/>
      <c r="B15" s="156"/>
      <c r="C15" s="25"/>
      <c r="D15" s="25"/>
      <c r="E15" s="25"/>
      <c r="F15" s="25"/>
      <c r="G15" s="25"/>
      <c r="H15" s="157"/>
      <c r="I15" s="1"/>
    </row>
    <row r="16" spans="1:13" ht="15" customHeight="1" x14ac:dyDescent="0.25">
      <c r="A16" s="1"/>
      <c r="B16" s="160" t="s">
        <v>196</v>
      </c>
      <c r="C16" s="392" t="s">
        <v>156</v>
      </c>
      <c r="D16" s="393"/>
      <c r="E16" s="394"/>
      <c r="F16" s="171" t="s">
        <v>157</v>
      </c>
      <c r="G16" s="170"/>
      <c r="H16" s="157"/>
      <c r="I16" s="1"/>
    </row>
    <row r="17" spans="1:13" ht="15" customHeight="1" x14ac:dyDescent="0.25">
      <c r="A17" s="1"/>
      <c r="B17" s="162"/>
      <c r="C17" s="397" t="str">
        <f>'Cloud Rubric- Factors'!$D$23</f>
        <v>Has support from service/application owner for a cloud move?</v>
      </c>
      <c r="D17" s="398"/>
      <c r="E17" s="399"/>
      <c r="F17" s="168" t="str">
        <f>IF('Cloud Rubric- Factors'!$J$23=1,"Cloud Stopper",IF('Cloud Rubric- Factors'!$K$23=1,"Cloud Strength",""))</f>
        <v/>
      </c>
      <c r="G17" s="169"/>
      <c r="H17" s="157"/>
      <c r="I17" s="1"/>
      <c r="J17" s="166"/>
    </row>
    <row r="18" spans="1:13" x14ac:dyDescent="0.25">
      <c r="A18" s="1"/>
      <c r="B18" s="162"/>
      <c r="C18" s="397" t="str">
        <f>'Cloud Rubric- Factors'!$D$24</f>
        <v>Is a SaaS option available?</v>
      </c>
      <c r="D18" s="398"/>
      <c r="E18" s="399"/>
      <c r="F18" s="168" t="str">
        <f>IF('Cloud Rubric- Factors'!$J$24=1,"Cloud Stopper",IF('Cloud Rubric- Factors'!$K$24=1,"Cloud Strength",""))</f>
        <v/>
      </c>
      <c r="G18" s="169"/>
      <c r="H18" s="157"/>
      <c r="I18" s="1"/>
    </row>
    <row r="19" spans="1:13" x14ac:dyDescent="0.25">
      <c r="A19" s="1"/>
      <c r="B19" s="162"/>
      <c r="C19" s="397" t="str">
        <f>'Cloud Rubric- Factors'!$D$25</f>
        <v>Can the application be retired?</v>
      </c>
      <c r="D19" s="398"/>
      <c r="E19" s="399"/>
      <c r="F19" s="168" t="str">
        <f>IF('Cloud Rubric- Factors'!$J$25=1,"Cloud Stopper",IF('Cloud Rubric- Factors'!$K$25=1,"Cloud Strength",""))</f>
        <v/>
      </c>
      <c r="G19" s="169"/>
      <c r="H19" s="157"/>
      <c r="I19" s="1"/>
    </row>
    <row r="20" spans="1:13" ht="15" customHeight="1" x14ac:dyDescent="0.25">
      <c r="A20" s="1"/>
      <c r="B20" s="162"/>
      <c r="C20" s="397" t="str">
        <f>'Cloud Rubric- Factors'!$D$26</f>
        <v>Is there a business reason the application must remain on-prem?</v>
      </c>
      <c r="D20" s="398"/>
      <c r="E20" s="399"/>
      <c r="F20" s="168" t="str">
        <f>IF('Cloud Rubric- Factors'!$J$26=1,"Cloud Stopper",IF('Cloud Rubric- Factors'!$K$26=1,"Cloud Strength",""))</f>
        <v/>
      </c>
      <c r="G20" s="169"/>
      <c r="H20" s="157"/>
      <c r="I20" s="25"/>
    </row>
    <row r="21" spans="1:13" x14ac:dyDescent="0.25">
      <c r="A21" s="1"/>
      <c r="B21" s="162"/>
      <c r="C21" s="397" t="str">
        <f>'Cloud Rubric- Factors'!$D$27</f>
        <v>If moved to the cloud, will vendor support still be available?</v>
      </c>
      <c r="D21" s="398"/>
      <c r="E21" s="399"/>
      <c r="F21" s="168" t="str">
        <f>IF('Cloud Rubric- Factors'!$J$27=1,"Cloud Stopper",IF('Cloud Rubric- Factors'!$K$27=1,"Cloud Strength",""))</f>
        <v/>
      </c>
      <c r="G21" s="169"/>
      <c r="H21" s="157"/>
      <c r="I21" s="1"/>
    </row>
    <row r="22" spans="1:13" x14ac:dyDescent="0.25">
      <c r="A22" s="1"/>
      <c r="B22" s="162"/>
      <c r="C22" s="397" t="str">
        <f>'Cloud Rubric- Factors'!$D$28</f>
        <v>Is the workload critical or requires HA (high availability)?</v>
      </c>
      <c r="D22" s="398"/>
      <c r="E22" s="399"/>
      <c r="F22" s="168" t="str">
        <f>IF('Cloud Rubric- Factors'!$J$28=1,"Cloud Stopper",IF('Cloud Rubric- Factors'!$K$28=1,"Cloud Strength",""))</f>
        <v/>
      </c>
      <c r="G22" s="169"/>
      <c r="H22" s="157"/>
      <c r="I22" s="1"/>
    </row>
    <row r="23" spans="1:13" x14ac:dyDescent="0.25">
      <c r="A23" s="1"/>
      <c r="B23" s="162"/>
      <c r="C23" s="397" t="str">
        <f>'Cloud Rubric- Factors'!$D$29</f>
        <v>Are there offsite requirements for HA/DR?</v>
      </c>
      <c r="D23" s="398"/>
      <c r="E23" s="399"/>
      <c r="F23" s="168" t="str">
        <f>IF('Cloud Rubric- Factors'!$J$29=1,"Cloud Stopper",IF('Cloud Rubric- Factors'!$K$29=1,"Cloud Strength",""))</f>
        <v/>
      </c>
      <c r="G23" s="169"/>
      <c r="H23" s="157"/>
      <c r="I23" s="1"/>
    </row>
    <row r="24" spans="1:13" x14ac:dyDescent="0.25">
      <c r="A24" s="1"/>
      <c r="B24" s="162"/>
      <c r="C24" s="397" t="str">
        <f>'Cloud Rubric- Factors'!$D$30</f>
        <v>Spikey workloads?</v>
      </c>
      <c r="D24" s="398"/>
      <c r="E24" s="399"/>
      <c r="F24" s="168" t="str">
        <f>IF('Cloud Rubric- Factors'!$J$30=1,"Cloud Stopper",IF('Cloud Rubric- Factors'!$K$30=1,"Cloud Strength",""))</f>
        <v/>
      </c>
      <c r="G24" s="169"/>
      <c r="H24" s="157"/>
      <c r="I24" s="1"/>
    </row>
    <row r="25" spans="1:13" x14ac:dyDescent="0.25">
      <c r="A25" s="1"/>
      <c r="B25" s="162"/>
      <c r="C25" s="397" t="str">
        <f>'Cloud Rubric- Factors'!$D$31</f>
        <v>Partial usage? (either in production or non-prod)</v>
      </c>
      <c r="D25" s="398"/>
      <c r="E25" s="399"/>
      <c r="F25" s="168" t="str">
        <f>IF('Cloud Rubric- Factors'!$J$31=1,"Cloud Stopper",IF('Cloud Rubric- Factors'!$K$31=1,"Cloud Strength",""))</f>
        <v/>
      </c>
      <c r="G25" s="169"/>
      <c r="H25" s="157"/>
      <c r="I25" s="1"/>
      <c r="K25" s="174"/>
      <c r="M25" s="174"/>
    </row>
    <row r="26" spans="1:13" x14ac:dyDescent="0.25">
      <c r="A26" s="1"/>
      <c r="B26" s="162"/>
      <c r="C26" s="397" t="str">
        <f>'Cloud Rubric- Factors'!$D$32</f>
        <v>HIPAA Data Requirement</v>
      </c>
      <c r="D26" s="398"/>
      <c r="E26" s="399"/>
      <c r="F26" s="168" t="str">
        <f>IF('Cloud Rubric- Factors'!$J$32=1,"Cloud Stopper",IF('Cloud Rubric- Factors'!$K$32=1,"Cloud Strength",""))</f>
        <v/>
      </c>
      <c r="G26" s="169"/>
      <c r="H26" s="157"/>
      <c r="I26" s="1"/>
      <c r="K26" s="174"/>
      <c r="M26" s="174"/>
    </row>
    <row r="27" spans="1:13" x14ac:dyDescent="0.25">
      <c r="A27" s="1"/>
      <c r="B27" s="162"/>
      <c r="C27" s="397" t="str">
        <f>'Cloud Rubric- Factors'!$D$33</f>
        <v>Replatforming / Rearchitecting of the application needed?</v>
      </c>
      <c r="D27" s="398"/>
      <c r="E27" s="399"/>
      <c r="F27" s="168" t="str">
        <f>IF('Cloud Rubric- Factors'!$J$33=1,"Cloud Stopper",IF('Cloud Rubric- Factors'!$K$33=1,"Cloud Strength",""))</f>
        <v/>
      </c>
      <c r="G27" s="169"/>
      <c r="H27" s="157"/>
      <c r="I27" s="1"/>
      <c r="K27" s="174"/>
      <c r="M27" s="174"/>
    </row>
    <row r="28" spans="1:13" x14ac:dyDescent="0.25">
      <c r="A28" s="1"/>
      <c r="B28" s="162"/>
      <c r="C28" s="397" t="str">
        <f>'Cloud Rubric- Factors'!$D$34</f>
        <v>Is the solution Cloud Ready?</v>
      </c>
      <c r="D28" s="398"/>
      <c r="E28" s="399"/>
      <c r="F28" s="168" t="str">
        <f>IF('Cloud Rubric- Factors'!$J$34=1,"Cloud Stopper",IF('Cloud Rubric- Factors'!$K$34=1,"Cloud Strength",""))</f>
        <v/>
      </c>
      <c r="G28" s="169"/>
      <c r="H28" s="157"/>
      <c r="I28" s="1"/>
      <c r="K28" s="174"/>
      <c r="M28" s="174"/>
    </row>
    <row r="29" spans="1:13" x14ac:dyDescent="0.25">
      <c r="A29" s="1"/>
      <c r="B29" s="162"/>
      <c r="C29" s="397" t="str">
        <f>'Cloud Rubric- Factors'!$D$35</f>
        <v>Does the application require on-prem resources?</v>
      </c>
      <c r="D29" s="398"/>
      <c r="E29" s="399"/>
      <c r="F29" s="168" t="str">
        <f>IF('Cloud Rubric- Factors'!$J$35=1,"Cloud Stopper",IF('Cloud Rubric- Factors'!$K$35=1,"Cloud Strength",""))</f>
        <v/>
      </c>
      <c r="G29" s="169"/>
      <c r="H29" s="157"/>
      <c r="I29" s="1"/>
      <c r="K29" s="174"/>
      <c r="M29" s="174"/>
    </row>
    <row r="30" spans="1:13" x14ac:dyDescent="0.25">
      <c r="A30" s="1"/>
      <c r="B30" s="162"/>
      <c r="C30" s="397" t="str">
        <f>'Cloud Rubric- Factors'!$D$36</f>
        <v>Is mainframe data required?</v>
      </c>
      <c r="D30" s="398"/>
      <c r="E30" s="399"/>
      <c r="F30" s="168" t="str">
        <f>IF('Cloud Rubric- Factors'!$J$36=1,"Cloud Stopper",IF('Cloud Rubric- Factors'!$K$36=1,"Cloud Strength",""))</f>
        <v/>
      </c>
      <c r="G30" s="169"/>
      <c r="H30" s="157"/>
      <c r="I30" s="1"/>
      <c r="K30" s="174"/>
      <c r="M30" s="174"/>
    </row>
    <row r="31" spans="1:13" x14ac:dyDescent="0.25">
      <c r="A31" s="1"/>
      <c r="B31" s="156"/>
      <c r="C31" s="142"/>
      <c r="D31" s="45"/>
      <c r="E31" s="167"/>
      <c r="F31" s="25"/>
      <c r="G31" s="25"/>
      <c r="H31" s="157"/>
      <c r="I31" s="1"/>
    </row>
    <row r="32" spans="1:13" ht="15.75" thickBot="1" x14ac:dyDescent="0.3">
      <c r="A32" s="1"/>
      <c r="B32" s="158" t="s">
        <v>158</v>
      </c>
      <c r="C32" s="25"/>
      <c r="D32" s="25"/>
      <c r="E32" s="25"/>
      <c r="F32" s="25"/>
      <c r="G32" s="25"/>
      <c r="H32" s="157"/>
      <c r="I32" s="1"/>
    </row>
    <row r="33" spans="1:9" x14ac:dyDescent="0.25">
      <c r="A33" s="1"/>
      <c r="B33" s="156"/>
      <c r="C33" s="25"/>
      <c r="D33" s="25"/>
      <c r="E33" s="25"/>
      <c r="F33" s="25"/>
      <c r="G33" s="25"/>
      <c r="H33" s="157"/>
      <c r="I33" s="1"/>
    </row>
    <row r="34" spans="1:9" x14ac:dyDescent="0.25">
      <c r="A34" s="1"/>
      <c r="B34" s="160" t="s">
        <v>197</v>
      </c>
      <c r="C34" s="392" t="s">
        <v>164</v>
      </c>
      <c r="D34" s="393"/>
      <c r="E34" s="394"/>
      <c r="F34" s="175" t="s">
        <v>160</v>
      </c>
      <c r="G34" s="175" t="s">
        <v>161</v>
      </c>
      <c r="H34" s="157"/>
      <c r="I34" s="1"/>
    </row>
    <row r="35" spans="1:9" x14ac:dyDescent="0.25">
      <c r="A35" s="1"/>
      <c r="B35" s="162"/>
      <c r="C35" s="395" t="s">
        <v>165</v>
      </c>
      <c r="D35" s="396"/>
      <c r="E35" s="396"/>
      <c r="F35" s="178">
        <f>'Cloud Rubric- TCO Evaluation'!$E$22</f>
        <v>0</v>
      </c>
      <c r="G35" s="55">
        <f>'Cloud Rubric- TCO Evaluation'!$K$22</f>
        <v>0</v>
      </c>
      <c r="H35" s="157"/>
      <c r="I35" s="1"/>
    </row>
    <row r="36" spans="1:9" x14ac:dyDescent="0.25">
      <c r="A36" s="1"/>
      <c r="B36" s="156"/>
      <c r="C36" s="201" t="s">
        <v>200</v>
      </c>
      <c r="D36" s="45"/>
      <c r="E36" s="167"/>
      <c r="F36" s="25"/>
      <c r="G36" s="25"/>
      <c r="H36" s="157"/>
      <c r="I36" s="1"/>
    </row>
    <row r="37" spans="1:9" x14ac:dyDescent="0.25">
      <c r="A37" s="1"/>
      <c r="B37" s="156"/>
      <c r="C37" s="142"/>
      <c r="D37" s="45"/>
      <c r="E37" s="179"/>
      <c r="F37" s="25"/>
      <c r="G37" s="25"/>
      <c r="H37" s="157"/>
      <c r="I37" s="1"/>
    </row>
    <row r="38" spans="1:9" ht="15" customHeight="1" x14ac:dyDescent="0.25">
      <c r="A38" s="1"/>
      <c r="B38" s="156"/>
      <c r="C38" s="25"/>
      <c r="D38" s="25"/>
      <c r="E38" s="25"/>
      <c r="F38" s="189" t="str">
        <f>'Cloud Rubric- Factors'!E10</f>
        <v>(enter text here…)</v>
      </c>
      <c r="G38" s="189" t="str">
        <f>'Cloud Rubric- Factors'!E13</f>
        <v>(enter text here…)</v>
      </c>
      <c r="H38" s="157"/>
      <c r="I38" s="25"/>
    </row>
    <row r="39" spans="1:9" x14ac:dyDescent="0.25">
      <c r="A39" s="1"/>
      <c r="B39" s="160" t="s">
        <v>198</v>
      </c>
      <c r="C39" s="392" t="s">
        <v>164</v>
      </c>
      <c r="D39" s="393"/>
      <c r="E39" s="394"/>
      <c r="F39" s="188" t="s">
        <v>160</v>
      </c>
      <c r="G39" s="188" t="s">
        <v>161</v>
      </c>
      <c r="H39" s="157"/>
      <c r="I39" s="1"/>
    </row>
    <row r="40" spans="1:9" x14ac:dyDescent="0.25">
      <c r="A40" s="1"/>
      <c r="B40" s="162"/>
      <c r="C40" s="395" t="s">
        <v>162</v>
      </c>
      <c r="D40" s="396"/>
      <c r="E40" s="396"/>
      <c r="F40" s="176">
        <f>'Cloud Rubric- TCO Evaluation'!$E$40</f>
        <v>0</v>
      </c>
      <c r="G40" s="177">
        <f>IF('Cloud Rubric- TCO Evaluation'!K53='Cloud Rubric- TCO Evaluation'!U50,'Cloud Rubric- TCO Evaluation'!U40,IF('Cloud Rubric- TCO Evaluation'!K53='Cloud Rubric- TCO Evaluation'!P50,'Cloud Rubric- TCO Evaluation'!P40,IF('Cloud Rubric- TCO Evaluation'!K53='Cloud Rubric- TCO Evaluation'!K50,'Cloud Rubric- TCO Evaluation'!K40,0)))</f>
        <v>0</v>
      </c>
      <c r="H40" s="157"/>
      <c r="I40" s="1"/>
    </row>
    <row r="41" spans="1:9" x14ac:dyDescent="0.25">
      <c r="A41" s="1"/>
      <c r="B41" s="162"/>
      <c r="C41" s="395" t="s">
        <v>163</v>
      </c>
      <c r="D41" s="396"/>
      <c r="E41" s="396"/>
      <c r="F41" s="177">
        <f>'Cloud Rubric- TCO Evaluation'!$E$44</f>
        <v>0</v>
      </c>
      <c r="G41" s="177">
        <f>IF('Cloud Rubric- TCO Evaluation'!K53='Cloud Rubric- TCO Evaluation'!U50,'Cloud Rubric- TCO Evaluation'!U44,IF('Cloud Rubric- TCO Evaluation'!K53='Cloud Rubric- TCO Evaluation'!P50,'Cloud Rubric- TCO Evaluation'!P44,IF('Cloud Rubric- TCO Evaluation'!K53='Cloud Rubric- TCO Evaluation'!K50,'Cloud Rubric- TCO Evaluation'!K44,0)))</f>
        <v>0</v>
      </c>
      <c r="H41" s="157"/>
      <c r="I41" s="1"/>
    </row>
    <row r="42" spans="1:9" x14ac:dyDescent="0.25">
      <c r="A42" s="1"/>
      <c r="B42" s="162"/>
      <c r="C42" s="395" t="s">
        <v>64</v>
      </c>
      <c r="D42" s="396"/>
      <c r="E42" s="396"/>
      <c r="F42" s="177">
        <f>'Cloud Rubric- TCO Evaluation'!$E$49</f>
        <v>0</v>
      </c>
      <c r="G42" s="177">
        <f>IF('Cloud Rubric- TCO Evaluation'!K53='Cloud Rubric- TCO Evaluation'!U50,'Cloud Rubric- TCO Evaluation'!U49,IF('Cloud Rubric- TCO Evaluation'!K53='Cloud Rubric- TCO Evaluation'!P50,'Cloud Rubric- TCO Evaluation'!P49,IF('Cloud Rubric- TCO Evaluation'!K53='Cloud Rubric- TCO Evaluation'!K50,'Cloud Rubric- TCO Evaluation'!K49,0)))</f>
        <v>0</v>
      </c>
      <c r="H42" s="157"/>
      <c r="I42" s="1"/>
    </row>
    <row r="43" spans="1:9" ht="15" customHeight="1" x14ac:dyDescent="0.25">
      <c r="A43" s="1"/>
      <c r="B43" s="162"/>
      <c r="C43" s="390" t="s">
        <v>140</v>
      </c>
      <c r="D43" s="391"/>
      <c r="E43" s="391"/>
      <c r="F43" s="55">
        <f>'Cloud Rubric- TCO Evaluation'!$E$53</f>
        <v>0</v>
      </c>
      <c r="G43" s="55">
        <f>'Cloud Rubric- TCO Evaluation'!$K$53</f>
        <v>0</v>
      </c>
      <c r="H43" s="157"/>
      <c r="I43" s="1"/>
    </row>
    <row r="44" spans="1:9" x14ac:dyDescent="0.25">
      <c r="A44" s="1"/>
      <c r="B44" s="156"/>
      <c r="C44" s="25"/>
      <c r="D44" s="25"/>
      <c r="E44" s="25"/>
      <c r="F44" s="25"/>
      <c r="G44" s="25"/>
      <c r="H44" s="157"/>
      <c r="I44" s="1"/>
    </row>
    <row r="45" spans="1:9" x14ac:dyDescent="0.25">
      <c r="A45" s="1"/>
      <c r="B45" s="156"/>
      <c r="C45" s="25"/>
      <c r="D45" s="25"/>
      <c r="E45" s="25"/>
      <c r="F45" s="25"/>
      <c r="G45" s="25"/>
      <c r="H45" s="157"/>
      <c r="I45" s="1"/>
    </row>
    <row r="46" spans="1:9" ht="15.75" thickBot="1" x14ac:dyDescent="0.3">
      <c r="A46" s="1"/>
      <c r="B46" s="163"/>
      <c r="C46" s="164"/>
      <c r="D46" s="164"/>
      <c r="E46" s="164"/>
      <c r="F46" s="164"/>
      <c r="G46" s="164"/>
      <c r="H46" s="165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45"/>
      <c r="C48" s="150"/>
      <c r="D48" s="1"/>
      <c r="E48" s="1"/>
      <c r="F48" s="1"/>
      <c r="G48" s="1"/>
      <c r="H48" s="1"/>
      <c r="I48" s="1"/>
    </row>
    <row r="49" spans="1:24" ht="15" customHeight="1" x14ac:dyDescent="0.25">
      <c r="A49" s="102"/>
      <c r="B49" s="2" t="s">
        <v>0</v>
      </c>
      <c r="C49" s="97"/>
      <c r="D49" s="97"/>
      <c r="E49" s="97"/>
      <c r="F49" s="97"/>
      <c r="G49" s="97"/>
      <c r="H49" s="97"/>
      <c r="I49" s="1"/>
    </row>
    <row r="50" spans="1:24" ht="15" customHeight="1" x14ac:dyDescent="0.25">
      <c r="A50" s="102"/>
      <c r="B50" s="147" t="s">
        <v>266</v>
      </c>
      <c r="C50" s="97"/>
      <c r="D50" s="97"/>
      <c r="E50" s="97"/>
      <c r="F50" s="97"/>
      <c r="G50" s="97"/>
      <c r="H50" s="97"/>
      <c r="I50" s="1"/>
    </row>
    <row r="51" spans="1:24" x14ac:dyDescent="0.25">
      <c r="A51" s="25"/>
      <c r="B51" s="147" t="s">
        <v>270</v>
      </c>
      <c r="C51" s="1"/>
      <c r="D51" s="1"/>
      <c r="E51" s="1"/>
      <c r="F51" s="1"/>
      <c r="G51" s="1"/>
      <c r="H51" s="1"/>
      <c r="I51" s="1"/>
    </row>
    <row r="53" spans="1:24" x14ac:dyDescent="0.25">
      <c r="I53" s="1"/>
    </row>
    <row r="54" spans="1:24" s="50" customFormat="1" x14ac:dyDescent="0.25">
      <c r="A54"/>
      <c r="B54"/>
      <c r="C54"/>
      <c r="D54"/>
      <c r="E54"/>
      <c r="F54"/>
      <c r="G54"/>
      <c r="H54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</row>
    <row r="55" spans="1:24" s="50" customFormat="1" x14ac:dyDescent="0.25">
      <c r="A55"/>
      <c r="B55"/>
      <c r="C55"/>
      <c r="D55"/>
      <c r="E55"/>
      <c r="F55"/>
      <c r="G55"/>
      <c r="H55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</row>
    <row r="56" spans="1:24" x14ac:dyDescent="0.25">
      <c r="I56" s="1"/>
    </row>
  </sheetData>
  <mergeCells count="23">
    <mergeCell ref="C27:E27"/>
    <mergeCell ref="C28:E28"/>
    <mergeCell ref="C24:E24"/>
    <mergeCell ref="C25:E25"/>
    <mergeCell ref="C16:E16"/>
    <mergeCell ref="C17:E17"/>
    <mergeCell ref="C18:E18"/>
    <mergeCell ref="C12:F12"/>
    <mergeCell ref="C43:E43"/>
    <mergeCell ref="C34:E34"/>
    <mergeCell ref="C39:E39"/>
    <mergeCell ref="C40:E40"/>
    <mergeCell ref="C41:E41"/>
    <mergeCell ref="C42:E42"/>
    <mergeCell ref="C35:E35"/>
    <mergeCell ref="C29:E29"/>
    <mergeCell ref="C30:E30"/>
    <mergeCell ref="C19:E19"/>
    <mergeCell ref="C20:E20"/>
    <mergeCell ref="C21:E21"/>
    <mergeCell ref="C22:E22"/>
    <mergeCell ref="C23:E23"/>
    <mergeCell ref="C26:E26"/>
  </mergeCells>
  <conditionalFormatting sqref="C40:E43">
    <cfRule type="expression" dxfId="7" priority="21">
      <formula>$F40="Cloud Strength"</formula>
    </cfRule>
    <cfRule type="expression" dxfId="6" priority="22">
      <formula>$F40="Cloud Stopper"</formula>
    </cfRule>
  </conditionalFormatting>
  <conditionalFormatting sqref="G38">
    <cfRule type="expression" dxfId="5" priority="17">
      <formula>$G$43&gt;$F$43</formula>
    </cfRule>
    <cfRule type="expression" dxfId="4" priority="20">
      <formula>$G$43&lt;$F$43</formula>
    </cfRule>
  </conditionalFormatting>
  <conditionalFormatting sqref="F38">
    <cfRule type="expression" dxfId="3" priority="18">
      <formula>$F$43&gt;$G$43</formula>
    </cfRule>
    <cfRule type="expression" dxfId="2" priority="19">
      <formula>$F$43&lt;$G$43</formula>
    </cfRule>
  </conditionalFormatting>
  <conditionalFormatting sqref="C17:F30">
    <cfRule type="expression" dxfId="1" priority="27">
      <formula>$F17="Cloud Strength"</formula>
    </cfRule>
    <cfRule type="expression" dxfId="0" priority="28">
      <formula>$F17="Cloud Stopper"</formula>
    </cfRule>
  </conditionalFormatting>
  <conditionalFormatting sqref="F3">
    <cfRule type="colorScale" priority="4">
      <colorScale>
        <cfvo type="num" val="0"/>
        <cfvo type="num" val="33"/>
        <cfvo type="num" val="66"/>
        <color rgb="FFF8696B"/>
        <color rgb="FFFFEB84"/>
        <color rgb="FF63BE7B"/>
      </colorScale>
    </cfRule>
  </conditionalFormatting>
  <conditionalFormatting sqref="F5:F7">
    <cfRule type="dataBar" priority="1">
      <dataBar>
        <cfvo type="min"/>
        <cfvo type="max"/>
        <color theme="9" tint="0.79998168889431442"/>
      </dataBar>
      <extLst>
        <ext xmlns:x14="http://schemas.microsoft.com/office/spreadsheetml/2009/9/main" uri="{B025F937-C7B1-47D3-B67F-A62EFF666E3E}">
          <x14:id>{F821EDA5-9000-4076-865C-C50E0BD95FEF}</x14:id>
        </ext>
      </extLs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821EDA5-9000-4076-865C-C50E0BD95FE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7"/>
  <sheetViews>
    <sheetView workbookViewId="0">
      <selection activeCell="B14" sqref="B14"/>
    </sheetView>
  </sheetViews>
  <sheetFormatPr defaultRowHeight="15" x14ac:dyDescent="0.25"/>
  <cols>
    <col min="1" max="1" width="11.140625" bestFit="1" customWidth="1"/>
    <col min="2" max="2" width="64.42578125" bestFit="1" customWidth="1"/>
    <col min="3" max="3" width="86.42578125" bestFit="1" customWidth="1"/>
    <col min="4" max="4" width="8" bestFit="1" customWidth="1"/>
    <col min="5" max="5" width="8.5703125" bestFit="1" customWidth="1"/>
    <col min="10" max="10" width="10.28515625" bestFit="1" customWidth="1"/>
    <col min="11" max="11" width="13.28515625" bestFit="1" customWidth="1"/>
  </cols>
  <sheetData>
    <row r="1" spans="1:11" x14ac:dyDescent="0.25">
      <c r="A1" s="9"/>
      <c r="B1" s="9"/>
      <c r="C1" s="9"/>
      <c r="D1" s="400" t="s">
        <v>9</v>
      </c>
      <c r="E1" s="400"/>
      <c r="G1" s="400" t="s">
        <v>12</v>
      </c>
      <c r="H1" s="400"/>
    </row>
    <row r="2" spans="1:11" ht="30.75" thickBot="1" x14ac:dyDescent="0.3">
      <c r="B2" s="24" t="s">
        <v>17</v>
      </c>
      <c r="C2" s="24" t="s">
        <v>7</v>
      </c>
      <c r="D2" s="180" t="s">
        <v>169</v>
      </c>
      <c r="E2" s="180" t="s">
        <v>151</v>
      </c>
      <c r="G2" s="180" t="s">
        <v>169</v>
      </c>
      <c r="H2" s="180" t="s">
        <v>151</v>
      </c>
    </row>
    <row r="3" spans="1:11" x14ac:dyDescent="0.25">
      <c r="A3" s="187" t="s">
        <v>173</v>
      </c>
      <c r="B3" s="181" t="s">
        <v>170</v>
      </c>
      <c r="C3" s="182" t="s">
        <v>171</v>
      </c>
      <c r="D3">
        <v>1</v>
      </c>
      <c r="E3">
        <v>0</v>
      </c>
      <c r="G3">
        <v>0</v>
      </c>
      <c r="H3">
        <v>0</v>
      </c>
    </row>
    <row r="4" spans="1:11" x14ac:dyDescent="0.25">
      <c r="B4" s="185" t="s">
        <v>51</v>
      </c>
      <c r="C4" s="186" t="s">
        <v>54</v>
      </c>
      <c r="D4">
        <v>0</v>
      </c>
      <c r="E4">
        <v>0</v>
      </c>
      <c r="G4">
        <v>0</v>
      </c>
      <c r="H4">
        <v>1</v>
      </c>
    </row>
    <row r="5" spans="1:11" x14ac:dyDescent="0.25">
      <c r="B5" s="185" t="s">
        <v>52</v>
      </c>
      <c r="C5" s="186" t="s">
        <v>172</v>
      </c>
      <c r="D5">
        <v>0</v>
      </c>
      <c r="E5">
        <v>0</v>
      </c>
      <c r="G5">
        <v>0</v>
      </c>
      <c r="H5">
        <v>0</v>
      </c>
      <c r="J5" t="s">
        <v>181</v>
      </c>
      <c r="K5" t="s">
        <v>183</v>
      </c>
    </row>
    <row r="6" spans="1:11" x14ac:dyDescent="0.25">
      <c r="B6" s="185" t="s">
        <v>148</v>
      </c>
      <c r="C6" s="186" t="s">
        <v>149</v>
      </c>
      <c r="D6">
        <v>0</v>
      </c>
      <c r="E6">
        <v>0</v>
      </c>
      <c r="G6">
        <v>1</v>
      </c>
      <c r="H6">
        <v>0</v>
      </c>
      <c r="J6">
        <f>SUM(D3:D7,G3:G7,D10:D16,G10:G16,D18:D19,G18:G19)</f>
        <v>3</v>
      </c>
      <c r="K6">
        <f>SUM(E3:E7,H3:H7,E10:E16,H10:H16,E18:E19,H18:H19)</f>
        <v>8</v>
      </c>
    </row>
    <row r="7" spans="1:11" x14ac:dyDescent="0.25">
      <c r="B7" s="183" t="s">
        <v>180</v>
      </c>
      <c r="C7" s="184" t="s">
        <v>53</v>
      </c>
      <c r="D7">
        <v>1</v>
      </c>
      <c r="E7">
        <v>0</v>
      </c>
      <c r="G7">
        <v>0</v>
      </c>
      <c r="H7">
        <v>0</v>
      </c>
    </row>
    <row r="8" spans="1:11" x14ac:dyDescent="0.25">
      <c r="B8" s="23"/>
      <c r="C8" s="23"/>
    </row>
    <row r="9" spans="1:11" x14ac:dyDescent="0.25">
      <c r="B9" s="23"/>
      <c r="C9" s="23"/>
    </row>
    <row r="10" spans="1:11" x14ac:dyDescent="0.25">
      <c r="A10" s="187" t="s">
        <v>10</v>
      </c>
      <c r="B10" s="181" t="s">
        <v>174</v>
      </c>
      <c r="C10" s="182" t="s">
        <v>147</v>
      </c>
      <c r="D10">
        <v>0</v>
      </c>
      <c r="E10">
        <v>0</v>
      </c>
      <c r="G10">
        <v>0</v>
      </c>
      <c r="H10">
        <v>1</v>
      </c>
    </row>
    <row r="11" spans="1:11" x14ac:dyDescent="0.25">
      <c r="B11" s="185" t="s">
        <v>175</v>
      </c>
      <c r="C11" s="186" t="s">
        <v>176</v>
      </c>
      <c r="D11">
        <v>0</v>
      </c>
      <c r="E11">
        <v>0</v>
      </c>
      <c r="G11">
        <v>0</v>
      </c>
      <c r="H11">
        <v>1</v>
      </c>
    </row>
    <row r="12" spans="1:11" x14ac:dyDescent="0.25">
      <c r="B12" s="185" t="s">
        <v>32</v>
      </c>
      <c r="C12" s="186" t="s">
        <v>33</v>
      </c>
      <c r="D12">
        <v>0</v>
      </c>
      <c r="E12">
        <v>0</v>
      </c>
      <c r="G12">
        <v>0</v>
      </c>
      <c r="H12">
        <v>1</v>
      </c>
    </row>
    <row r="13" spans="1:11" x14ac:dyDescent="0.25">
      <c r="B13" s="185" t="s">
        <v>265</v>
      </c>
      <c r="C13" s="186" t="s">
        <v>168</v>
      </c>
      <c r="D13">
        <v>0</v>
      </c>
      <c r="E13">
        <v>0</v>
      </c>
      <c r="G13">
        <v>0</v>
      </c>
      <c r="H13">
        <v>1</v>
      </c>
    </row>
    <row r="14" spans="1:11" x14ac:dyDescent="0.25">
      <c r="B14" s="185" t="s">
        <v>27</v>
      </c>
      <c r="C14" s="186" t="s">
        <v>28</v>
      </c>
      <c r="D14">
        <v>0</v>
      </c>
      <c r="E14">
        <v>0</v>
      </c>
      <c r="G14">
        <v>0</v>
      </c>
      <c r="H14">
        <v>1</v>
      </c>
    </row>
    <row r="15" spans="1:11" x14ac:dyDescent="0.25">
      <c r="B15" s="185" t="s">
        <v>179</v>
      </c>
      <c r="C15" s="186" t="s">
        <v>178</v>
      </c>
      <c r="D15">
        <v>0</v>
      </c>
      <c r="E15">
        <v>0</v>
      </c>
      <c r="G15">
        <v>0</v>
      </c>
      <c r="H15">
        <v>1</v>
      </c>
    </row>
    <row r="16" spans="1:11" x14ac:dyDescent="0.25">
      <c r="B16" s="183" t="s">
        <v>26</v>
      </c>
      <c r="C16" s="184" t="s">
        <v>177</v>
      </c>
      <c r="D16">
        <v>0</v>
      </c>
      <c r="E16">
        <v>0</v>
      </c>
      <c r="G16">
        <v>0</v>
      </c>
      <c r="H16">
        <v>1</v>
      </c>
    </row>
    <row r="17" spans="1:8" x14ac:dyDescent="0.25">
      <c r="B17" s="23"/>
      <c r="C17" s="23"/>
    </row>
    <row r="18" spans="1:8" x14ac:dyDescent="0.25">
      <c r="A18" s="187" t="s">
        <v>45</v>
      </c>
      <c r="B18" s="181" t="s">
        <v>36</v>
      </c>
      <c r="C18" s="182" t="s">
        <v>37</v>
      </c>
      <c r="D18">
        <v>0</v>
      </c>
      <c r="E18">
        <v>0</v>
      </c>
      <c r="G18">
        <v>0</v>
      </c>
      <c r="H18">
        <v>0</v>
      </c>
    </row>
    <row r="19" spans="1:8" x14ac:dyDescent="0.25">
      <c r="B19" s="183" t="s">
        <v>29</v>
      </c>
      <c r="C19" s="184" t="s">
        <v>30</v>
      </c>
      <c r="D19">
        <v>0</v>
      </c>
      <c r="E19">
        <v>0</v>
      </c>
      <c r="G19">
        <v>0</v>
      </c>
      <c r="H19">
        <v>0</v>
      </c>
    </row>
    <row r="20" spans="1:8" x14ac:dyDescent="0.25">
      <c r="B20" s="23"/>
      <c r="C20" s="23"/>
    </row>
    <row r="21" spans="1:8" x14ac:dyDescent="0.25">
      <c r="B21" s="23" t="s">
        <v>25</v>
      </c>
      <c r="C21" s="23" t="s">
        <v>145</v>
      </c>
      <c r="D21">
        <v>0</v>
      </c>
      <c r="E21">
        <v>0</v>
      </c>
      <c r="G21">
        <v>0</v>
      </c>
      <c r="H21">
        <v>0</v>
      </c>
    </row>
    <row r="22" spans="1:8" x14ac:dyDescent="0.25">
      <c r="B22" t="s">
        <v>24</v>
      </c>
      <c r="C22" t="s">
        <v>146</v>
      </c>
      <c r="D22">
        <v>0</v>
      </c>
      <c r="E22">
        <v>0</v>
      </c>
      <c r="G22">
        <v>0</v>
      </c>
      <c r="H22">
        <v>0</v>
      </c>
    </row>
    <row r="23" spans="1:8" x14ac:dyDescent="0.25">
      <c r="B23" s="23" t="s">
        <v>31</v>
      </c>
      <c r="C23" s="23" t="s">
        <v>38</v>
      </c>
      <c r="D23">
        <v>0</v>
      </c>
      <c r="E23">
        <v>0</v>
      </c>
      <c r="G23">
        <v>0</v>
      </c>
      <c r="H23">
        <v>0</v>
      </c>
    </row>
    <row r="24" spans="1:8" x14ac:dyDescent="0.25">
      <c r="B24" s="23" t="s">
        <v>35</v>
      </c>
      <c r="C24" s="23" t="s">
        <v>49</v>
      </c>
      <c r="D24">
        <v>0</v>
      </c>
      <c r="E24">
        <v>0</v>
      </c>
      <c r="G24">
        <v>0</v>
      </c>
      <c r="H24">
        <v>0</v>
      </c>
    </row>
    <row r="25" spans="1:8" x14ac:dyDescent="0.25">
      <c r="B25" s="23" t="s">
        <v>47</v>
      </c>
      <c r="C25" s="23" t="s">
        <v>48</v>
      </c>
      <c r="D25">
        <v>0</v>
      </c>
      <c r="E25">
        <v>0</v>
      </c>
      <c r="G25">
        <v>0</v>
      </c>
      <c r="H25">
        <v>0</v>
      </c>
    </row>
    <row r="26" spans="1:8" x14ac:dyDescent="0.25">
      <c r="B26" s="23"/>
      <c r="C26" s="23" t="s">
        <v>34</v>
      </c>
    </row>
    <row r="27" spans="1:8" x14ac:dyDescent="0.25">
      <c r="A27" s="9"/>
      <c r="B27" s="9"/>
      <c r="C27" s="9"/>
      <c r="D27">
        <f>SUM(D3:D25)</f>
        <v>2</v>
      </c>
      <c r="E27">
        <f>SUM(E3:E25)</f>
        <v>0</v>
      </c>
      <c r="G27">
        <f>SUM(G3:G25)</f>
        <v>1</v>
      </c>
      <c r="H27">
        <f>SUM(H3:H25)</f>
        <v>8</v>
      </c>
    </row>
  </sheetData>
  <mergeCells count="2">
    <mergeCell ref="D1:E1"/>
    <mergeCell ref="G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"/>
  <sheetViews>
    <sheetView zoomScale="80" zoomScaleNormal="80" workbookViewId="0">
      <selection activeCell="B6" sqref="B6"/>
    </sheetView>
  </sheetViews>
  <sheetFormatPr defaultRowHeight="15" x14ac:dyDescent="0.25"/>
  <cols>
    <col min="1" max="1" width="3" customWidth="1"/>
    <col min="2" max="2" width="38.42578125" customWidth="1"/>
    <col min="3" max="3" width="85.42578125" customWidth="1"/>
    <col min="4" max="4" width="136.85546875" customWidth="1"/>
    <col min="5" max="5" width="46" customWidth="1"/>
    <col min="6" max="6" width="11.42578125" hidden="1" customWidth="1"/>
  </cols>
  <sheetData>
    <row r="1" spans="1:6" x14ac:dyDescent="0.25">
      <c r="A1" s="1"/>
      <c r="B1" s="1"/>
      <c r="C1" s="1"/>
      <c r="D1" s="1"/>
    </row>
    <row r="2" spans="1:6" ht="18" customHeight="1" thickBot="1" x14ac:dyDescent="0.35">
      <c r="A2" s="1"/>
      <c r="B2" s="191" t="s">
        <v>23</v>
      </c>
      <c r="C2" s="12"/>
      <c r="D2" s="11"/>
      <c r="E2" s="1"/>
    </row>
    <row r="3" spans="1:6" ht="33" customHeight="1" thickTop="1" x14ac:dyDescent="0.25">
      <c r="A3" s="1"/>
      <c r="B3" s="22" t="s">
        <v>16</v>
      </c>
      <c r="C3" s="21"/>
      <c r="D3" s="1"/>
      <c r="E3" s="1"/>
      <c r="F3" s="14" t="e">
        <f>(PRODUCT(IF(#REF!&gt;0,#REF!,1),(IF(#REF!&gt;0,#REF!,1)),(IF(#REF!&gt;0,#REF!,1)),(IF(#REF!&gt;0,#REF!,1)),(IF(#REF!&gt;0,#REF!,1))))</f>
        <v>#REF!</v>
      </c>
    </row>
    <row r="4" spans="1:6" ht="21" x14ac:dyDescent="0.35">
      <c r="A4" s="20"/>
      <c r="B4" s="19" t="s">
        <v>15</v>
      </c>
      <c r="C4" s="19" t="s">
        <v>14</v>
      </c>
      <c r="D4" s="19" t="s">
        <v>13</v>
      </c>
      <c r="E4" s="1"/>
    </row>
    <row r="5" spans="1:6" ht="5.25" customHeight="1" thickBot="1" x14ac:dyDescent="0.3">
      <c r="A5" s="1"/>
      <c r="B5" s="1"/>
      <c r="C5" s="6"/>
      <c r="D5" s="10"/>
      <c r="E5" s="1"/>
    </row>
    <row r="6" spans="1:6" s="15" customFormat="1" ht="30" customHeight="1" x14ac:dyDescent="0.25">
      <c r="A6" s="17"/>
      <c r="B6" s="18" t="s">
        <v>212</v>
      </c>
      <c r="C6" s="16" t="s">
        <v>213</v>
      </c>
    </row>
    <row r="7" spans="1:6" ht="26.25" x14ac:dyDescent="0.25">
      <c r="B7" s="15" t="s">
        <v>211</v>
      </c>
      <c r="C7" s="221" t="s">
        <v>214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8"/>
  <sheetViews>
    <sheetView workbookViewId="0">
      <selection activeCell="B4" sqref="B4"/>
    </sheetView>
  </sheetViews>
  <sheetFormatPr defaultRowHeight="15" x14ac:dyDescent="0.25"/>
  <cols>
    <col min="2" max="2" width="11" customWidth="1"/>
    <col min="3" max="3" width="11.7109375" bestFit="1" customWidth="1"/>
    <col min="4" max="4" width="17.7109375" bestFit="1" customWidth="1"/>
    <col min="8" max="8" width="11" customWidth="1"/>
    <col min="9" max="9" width="11.7109375" bestFit="1" customWidth="1"/>
    <col min="10" max="10" width="17.7109375" bestFit="1" customWidth="1"/>
  </cols>
  <sheetData>
    <row r="1" spans="1:10" x14ac:dyDescent="0.25">
      <c r="A1" s="40"/>
      <c r="B1" s="40"/>
      <c r="C1" s="40"/>
      <c r="D1" s="40"/>
      <c r="E1" s="40"/>
      <c r="F1" s="40"/>
    </row>
    <row r="2" spans="1:10" ht="52.5" customHeight="1" x14ac:dyDescent="0.25">
      <c r="A2" s="40"/>
      <c r="B2" s="40"/>
      <c r="C2" s="40" t="s">
        <v>130</v>
      </c>
      <c r="D2" s="40" t="s">
        <v>133</v>
      </c>
      <c r="E2" s="40"/>
      <c r="F2" s="40"/>
      <c r="G2">
        <v>1</v>
      </c>
      <c r="H2" s="40"/>
      <c r="I2" t="str">
        <f>IF('Cloud Rubric- TCO Evaluation'!H55&gt;0,"GreenCheck","RedCheck")</f>
        <v>RedCheck</v>
      </c>
      <c r="J2" t="str">
        <f>VLOOKUP(I2,$C$2:$D$3,2,FALSE)</f>
        <v>InstanceChecks!B3</v>
      </c>
    </row>
    <row r="3" spans="1:10" ht="57" customHeight="1" x14ac:dyDescent="0.25">
      <c r="A3" s="40"/>
      <c r="B3" s="40"/>
      <c r="C3" s="40" t="s">
        <v>131</v>
      </c>
      <c r="D3" s="40" t="s">
        <v>134</v>
      </c>
      <c r="E3" s="40"/>
      <c r="F3" s="40"/>
      <c r="G3">
        <v>2</v>
      </c>
      <c r="I3" t="str">
        <f>IF('Cloud Rubric- TCO Evaluation'!H55&lt;=0,"GreenCheck","RedCheck")</f>
        <v>GreenCheck</v>
      </c>
      <c r="J3" t="str">
        <f>VLOOKUP(I3,$C$2:$D$3,2,FALSE)</f>
        <v>InstanceChecks!B2</v>
      </c>
    </row>
    <row r="4" spans="1:10" x14ac:dyDescent="0.25">
      <c r="A4" s="40"/>
      <c r="B4" s="40"/>
      <c r="C4" s="40"/>
      <c r="D4" s="40"/>
      <c r="E4" s="40"/>
      <c r="F4" s="40"/>
    </row>
    <row r="5" spans="1:10" x14ac:dyDescent="0.25">
      <c r="A5" s="40"/>
      <c r="B5" s="40"/>
      <c r="C5" s="40"/>
      <c r="D5" s="40"/>
      <c r="E5" s="40"/>
      <c r="F5" s="40"/>
    </row>
    <row r="6" spans="1:10" x14ac:dyDescent="0.25">
      <c r="A6" s="40"/>
      <c r="B6" s="40"/>
      <c r="C6" s="40"/>
      <c r="D6" s="40"/>
      <c r="E6" s="40"/>
      <c r="F6" s="40"/>
    </row>
    <row r="7" spans="1:10" x14ac:dyDescent="0.25">
      <c r="A7" s="40"/>
      <c r="B7" s="40"/>
      <c r="C7" s="40"/>
      <c r="D7" s="40"/>
      <c r="E7" s="40"/>
      <c r="F7" s="40"/>
    </row>
    <row r="8" spans="1:10" x14ac:dyDescent="0.25">
      <c r="A8" s="40"/>
      <c r="B8" s="40"/>
      <c r="C8" s="40"/>
      <c r="D8" s="40"/>
      <c r="E8" s="40"/>
      <c r="F8" s="40"/>
    </row>
  </sheetData>
  <pageMargins left="0.7" right="0.7" top="0.75" bottom="0.75" header="0.3" footer="0.3"/>
  <pageSetup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31"/>
  <sheetViews>
    <sheetView workbookViewId="0"/>
  </sheetViews>
  <sheetFormatPr defaultRowHeight="15" x14ac:dyDescent="0.25"/>
  <cols>
    <col min="1" max="1" width="13.28515625" customWidth="1"/>
    <col min="2" max="2" width="20.42578125" customWidth="1"/>
    <col min="3" max="3" width="11.5703125" customWidth="1"/>
    <col min="4" max="4" width="8.7109375" customWidth="1"/>
    <col min="5" max="5" width="8" customWidth="1"/>
    <col min="6" max="6" width="6.85546875" customWidth="1"/>
    <col min="7" max="7" width="50.42578125" customWidth="1"/>
    <col min="11" max="11" width="11.42578125" customWidth="1"/>
    <col min="13" max="13" width="6" customWidth="1"/>
    <col min="14" max="14" width="14.5703125" customWidth="1"/>
    <col min="15" max="15" width="5.85546875" customWidth="1"/>
    <col min="16" max="16" width="10.5703125" customWidth="1"/>
    <col min="18" max="18" width="14.7109375" customWidth="1"/>
  </cols>
  <sheetData>
    <row r="1" spans="1:18" ht="45" x14ac:dyDescent="0.25">
      <c r="A1" t="s">
        <v>65</v>
      </c>
      <c r="B1" t="s">
        <v>66</v>
      </c>
      <c r="C1" t="s">
        <v>67</v>
      </c>
      <c r="D1" t="s">
        <v>68</v>
      </c>
      <c r="E1" t="s">
        <v>69</v>
      </c>
      <c r="F1" t="s">
        <v>70</v>
      </c>
      <c r="G1" t="s">
        <v>71</v>
      </c>
      <c r="H1" t="s">
        <v>56</v>
      </c>
      <c r="J1" t="s">
        <v>72</v>
      </c>
      <c r="K1" t="s">
        <v>73</v>
      </c>
      <c r="L1" t="s">
        <v>74</v>
      </c>
      <c r="N1" s="56" t="s">
        <v>75</v>
      </c>
      <c r="P1" t="s">
        <v>76</v>
      </c>
      <c r="R1" t="s">
        <v>77</v>
      </c>
    </row>
    <row r="2" spans="1:18" x14ac:dyDescent="0.25">
      <c r="A2" t="s">
        <v>78</v>
      </c>
      <c r="B2" t="s">
        <v>79</v>
      </c>
      <c r="C2">
        <v>1</v>
      </c>
      <c r="D2" t="s">
        <v>80</v>
      </c>
      <c r="E2">
        <v>0.6</v>
      </c>
      <c r="G2" t="s">
        <v>81</v>
      </c>
      <c r="H2">
        <v>0</v>
      </c>
    </row>
    <row r="3" spans="1:18" x14ac:dyDescent="0.25">
      <c r="A3" t="s">
        <v>82</v>
      </c>
      <c r="B3" t="s">
        <v>83</v>
      </c>
      <c r="C3">
        <v>1</v>
      </c>
      <c r="D3">
        <v>1</v>
      </c>
      <c r="E3">
        <v>1.7</v>
      </c>
      <c r="F3" t="s">
        <v>84</v>
      </c>
      <c r="G3" t="s">
        <v>85</v>
      </c>
      <c r="H3">
        <v>43.92</v>
      </c>
    </row>
    <row r="4" spans="1:18" x14ac:dyDescent="0.25">
      <c r="A4" t="s">
        <v>86</v>
      </c>
      <c r="B4" t="s">
        <v>87</v>
      </c>
      <c r="C4">
        <v>1</v>
      </c>
      <c r="D4">
        <v>2</v>
      </c>
      <c r="E4">
        <v>3.7</v>
      </c>
      <c r="F4" t="s">
        <v>88</v>
      </c>
      <c r="G4" t="s">
        <v>89</v>
      </c>
      <c r="H4">
        <v>87.84</v>
      </c>
    </row>
    <row r="5" spans="1:18" x14ac:dyDescent="0.25">
      <c r="A5" t="s">
        <v>90</v>
      </c>
      <c r="B5" t="s">
        <v>91</v>
      </c>
      <c r="C5">
        <v>2</v>
      </c>
      <c r="D5">
        <v>4</v>
      </c>
      <c r="E5">
        <v>7.5</v>
      </c>
      <c r="F5" t="s">
        <v>92</v>
      </c>
      <c r="G5" t="s">
        <v>93</v>
      </c>
      <c r="H5">
        <v>175.68</v>
      </c>
    </row>
    <row r="6" spans="1:18" x14ac:dyDescent="0.25">
      <c r="A6" t="s">
        <v>94</v>
      </c>
      <c r="B6" t="s">
        <v>95</v>
      </c>
      <c r="C6">
        <v>4</v>
      </c>
      <c r="D6">
        <v>8</v>
      </c>
      <c r="E6">
        <v>15</v>
      </c>
      <c r="F6">
        <v>1690</v>
      </c>
      <c r="G6" t="s">
        <v>96</v>
      </c>
      <c r="H6">
        <v>351.36</v>
      </c>
    </row>
    <row r="7" spans="1:18" x14ac:dyDescent="0.25">
      <c r="A7" t="s">
        <v>40</v>
      </c>
      <c r="B7" t="s">
        <v>40</v>
      </c>
      <c r="G7" t="s">
        <v>40</v>
      </c>
      <c r="H7">
        <v>0</v>
      </c>
    </row>
    <row r="8" spans="1:18" x14ac:dyDescent="0.25">
      <c r="A8" s="57" t="s">
        <v>97</v>
      </c>
      <c r="B8" s="58" t="s">
        <v>98</v>
      </c>
      <c r="C8" s="58"/>
      <c r="D8" s="58"/>
      <c r="E8" s="58"/>
      <c r="F8" s="58"/>
      <c r="G8" s="58" t="s">
        <v>99</v>
      </c>
      <c r="H8" s="58"/>
      <c r="I8" s="58"/>
      <c r="J8" s="58">
        <v>41.31</v>
      </c>
      <c r="K8" s="58">
        <v>12</v>
      </c>
      <c r="L8" s="59">
        <f>J8*K8</f>
        <v>495.72</v>
      </c>
      <c r="M8" s="58"/>
      <c r="N8" s="60">
        <f>R8</f>
        <v>28.362500000000001</v>
      </c>
      <c r="O8" s="61" t="str">
        <f t="shared" ref="O8:O18" si="0">"="</f>
        <v>=</v>
      </c>
      <c r="P8" s="60">
        <f>L8+(N8*K8)</f>
        <v>836.07</v>
      </c>
      <c r="Q8" s="58"/>
      <c r="R8" s="62">
        <f>113.45/4</f>
        <v>28.362500000000001</v>
      </c>
    </row>
    <row r="9" spans="1:18" x14ac:dyDescent="0.25">
      <c r="A9" s="63" t="s">
        <v>100</v>
      </c>
      <c r="B9" s="40" t="s">
        <v>101</v>
      </c>
      <c r="C9" s="40"/>
      <c r="D9" s="40"/>
      <c r="E9" s="40"/>
      <c r="F9" s="40"/>
      <c r="G9" s="40" t="s">
        <v>102</v>
      </c>
      <c r="H9" s="40"/>
      <c r="I9" s="40"/>
      <c r="J9" s="40">
        <v>13.78</v>
      </c>
      <c r="K9" s="40">
        <v>12</v>
      </c>
      <c r="L9" s="64">
        <f t="shared" ref="L9:L11" si="1">J9*K9</f>
        <v>165.35999999999999</v>
      </c>
      <c r="M9" s="40"/>
      <c r="N9" s="65">
        <f>R9</f>
        <v>28.362500000000001</v>
      </c>
      <c r="O9" s="66" t="str">
        <f t="shared" si="0"/>
        <v>=</v>
      </c>
      <c r="P9" s="65">
        <f t="shared" ref="P9:P11" si="2">L9+(N9*K9)</f>
        <v>505.71000000000004</v>
      </c>
      <c r="Q9" s="40"/>
      <c r="R9" s="67">
        <f t="shared" ref="R9:R11" si="3">113.45/4</f>
        <v>28.362500000000001</v>
      </c>
    </row>
    <row r="10" spans="1:18" x14ac:dyDescent="0.25">
      <c r="A10" s="63" t="s">
        <v>103</v>
      </c>
      <c r="B10" s="40" t="s">
        <v>98</v>
      </c>
      <c r="C10" s="40"/>
      <c r="D10" s="40"/>
      <c r="E10" s="40"/>
      <c r="F10" s="40"/>
      <c r="G10" s="40" t="s">
        <v>99</v>
      </c>
      <c r="H10" s="40"/>
      <c r="I10" s="40"/>
      <c r="J10" s="40">
        <v>27.54</v>
      </c>
      <c r="K10" s="40">
        <v>12</v>
      </c>
      <c r="L10" s="64">
        <f t="shared" si="1"/>
        <v>330.48</v>
      </c>
      <c r="M10" s="40"/>
      <c r="N10" s="65">
        <f>R10</f>
        <v>28.362500000000001</v>
      </c>
      <c r="O10" s="66" t="str">
        <f t="shared" si="0"/>
        <v>=</v>
      </c>
      <c r="P10" s="65">
        <f t="shared" si="2"/>
        <v>670.83</v>
      </c>
      <c r="Q10" s="40"/>
      <c r="R10" s="67">
        <f t="shared" si="3"/>
        <v>28.362500000000001</v>
      </c>
    </row>
    <row r="11" spans="1:18" x14ac:dyDescent="0.25">
      <c r="A11" s="68" t="s">
        <v>104</v>
      </c>
      <c r="B11" s="69" t="s">
        <v>98</v>
      </c>
      <c r="C11" s="69"/>
      <c r="D11" s="69"/>
      <c r="E11" s="69"/>
      <c r="F11" s="69"/>
      <c r="G11" s="69" t="s">
        <v>99</v>
      </c>
      <c r="H11" s="69"/>
      <c r="I11" s="69"/>
      <c r="J11" s="69">
        <v>41.31</v>
      </c>
      <c r="K11" s="69">
        <v>12</v>
      </c>
      <c r="L11" s="70">
        <f t="shared" si="1"/>
        <v>495.72</v>
      </c>
      <c r="M11" s="69"/>
      <c r="N11" s="71">
        <f>R11</f>
        <v>28.362500000000001</v>
      </c>
      <c r="O11" s="72" t="str">
        <f t="shared" si="0"/>
        <v>=</v>
      </c>
      <c r="P11" s="71">
        <f t="shared" si="2"/>
        <v>836.07</v>
      </c>
      <c r="Q11" s="69"/>
      <c r="R11" s="73">
        <f t="shared" si="3"/>
        <v>28.362500000000001</v>
      </c>
    </row>
    <row r="12" spans="1:18" x14ac:dyDescent="0.25">
      <c r="A12" s="57" t="s">
        <v>59</v>
      </c>
      <c r="B12" s="58"/>
      <c r="C12" s="58"/>
      <c r="D12" s="58"/>
      <c r="E12" s="58"/>
      <c r="F12" s="58"/>
      <c r="G12" s="58" t="s">
        <v>105</v>
      </c>
      <c r="H12" s="58"/>
      <c r="I12" s="58"/>
      <c r="J12" s="59">
        <v>31.57</v>
      </c>
      <c r="K12" s="58">
        <v>12</v>
      </c>
      <c r="L12" s="59">
        <f>J12*K12</f>
        <v>378.84000000000003</v>
      </c>
      <c r="M12" s="61" t="s">
        <v>106</v>
      </c>
      <c r="N12" s="58">
        <v>759</v>
      </c>
      <c r="O12" s="61" t="str">
        <f t="shared" si="0"/>
        <v>=</v>
      </c>
      <c r="P12" s="59">
        <f>L12+N12</f>
        <v>1137.8400000000001</v>
      </c>
      <c r="Q12" s="58"/>
      <c r="R12" s="74"/>
    </row>
    <row r="13" spans="1:18" x14ac:dyDescent="0.25">
      <c r="A13" s="63" t="s">
        <v>60</v>
      </c>
      <c r="B13" s="40"/>
      <c r="C13" s="40"/>
      <c r="D13" s="40"/>
      <c r="E13" s="40"/>
      <c r="F13" s="40"/>
      <c r="G13" s="40" t="s">
        <v>107</v>
      </c>
      <c r="H13" s="40"/>
      <c r="I13" s="40"/>
      <c r="J13" s="64">
        <v>27.32</v>
      </c>
      <c r="K13" s="40">
        <v>12</v>
      </c>
      <c r="L13" s="64">
        <f t="shared" ref="L13:L18" si="4">J13*K13</f>
        <v>327.84000000000003</v>
      </c>
      <c r="M13" s="66" t="s">
        <v>106</v>
      </c>
      <c r="N13" s="40">
        <v>759</v>
      </c>
      <c r="O13" s="66" t="str">
        <f t="shared" si="0"/>
        <v>=</v>
      </c>
      <c r="P13" s="64">
        <f t="shared" ref="P13:P18" si="5">L13+N13</f>
        <v>1086.8400000000001</v>
      </c>
      <c r="Q13" s="40"/>
      <c r="R13" s="75"/>
    </row>
    <row r="14" spans="1:18" x14ac:dyDescent="0.25">
      <c r="A14" s="63" t="s">
        <v>61</v>
      </c>
      <c r="B14" s="40"/>
      <c r="C14" s="40"/>
      <c r="D14" s="40"/>
      <c r="E14" s="40"/>
      <c r="F14" s="40"/>
      <c r="G14" s="40" t="s">
        <v>108</v>
      </c>
      <c r="H14" s="40"/>
      <c r="I14" s="40"/>
      <c r="J14" s="64">
        <v>28.17</v>
      </c>
      <c r="K14" s="40">
        <v>12</v>
      </c>
      <c r="L14" s="64">
        <f t="shared" si="4"/>
        <v>338.04</v>
      </c>
      <c r="M14" s="66" t="s">
        <v>106</v>
      </c>
      <c r="N14" s="40">
        <v>759</v>
      </c>
      <c r="O14" s="66" t="str">
        <f t="shared" si="0"/>
        <v>=</v>
      </c>
      <c r="P14" s="64">
        <f t="shared" si="5"/>
        <v>1097.04</v>
      </c>
      <c r="Q14" s="40"/>
      <c r="R14" s="75"/>
    </row>
    <row r="15" spans="1:18" x14ac:dyDescent="0.25">
      <c r="A15" s="63" t="s">
        <v>121</v>
      </c>
      <c r="B15" s="40"/>
      <c r="C15" s="40"/>
      <c r="D15" s="40"/>
      <c r="E15" s="40"/>
      <c r="F15" s="40"/>
      <c r="G15" s="77" t="s">
        <v>122</v>
      </c>
      <c r="H15" s="40"/>
      <c r="I15" s="40"/>
      <c r="J15" s="64"/>
      <c r="K15" s="40"/>
      <c r="L15" s="64"/>
      <c r="M15" s="66"/>
      <c r="N15" s="40"/>
      <c r="O15" s="66"/>
      <c r="P15" s="64"/>
      <c r="Q15" s="40"/>
      <c r="R15" s="75"/>
    </row>
    <row r="16" spans="1:18" x14ac:dyDescent="0.25">
      <c r="A16" s="63" t="s">
        <v>118</v>
      </c>
      <c r="B16" s="40"/>
      <c r="C16" s="40"/>
      <c r="D16" s="40"/>
      <c r="E16" s="40"/>
      <c r="F16" s="40"/>
      <c r="G16" s="77" t="s">
        <v>119</v>
      </c>
      <c r="H16" s="40"/>
      <c r="I16" s="40"/>
      <c r="J16" s="64"/>
      <c r="K16" s="40"/>
      <c r="L16" s="64"/>
      <c r="M16" s="66"/>
      <c r="N16" s="40"/>
      <c r="O16" s="66"/>
      <c r="P16" s="64"/>
      <c r="Q16" s="40"/>
      <c r="R16" s="75"/>
    </row>
    <row r="17" spans="1:18" x14ac:dyDescent="0.25">
      <c r="A17" s="63" t="s">
        <v>124</v>
      </c>
      <c r="B17" s="40"/>
      <c r="C17" s="40"/>
      <c r="D17" s="40"/>
      <c r="E17" s="40"/>
      <c r="F17" s="40"/>
      <c r="G17" s="77" t="s">
        <v>125</v>
      </c>
      <c r="H17" s="40"/>
      <c r="I17" s="40"/>
      <c r="J17" s="64"/>
      <c r="K17" s="40"/>
      <c r="L17" s="64"/>
      <c r="M17" s="66"/>
      <c r="N17" s="40"/>
      <c r="O17" s="66"/>
      <c r="P17" s="64"/>
      <c r="Q17" s="40"/>
      <c r="R17" s="75"/>
    </row>
    <row r="18" spans="1:18" x14ac:dyDescent="0.25">
      <c r="A18" s="68" t="s">
        <v>109</v>
      </c>
      <c r="B18" s="69"/>
      <c r="C18" s="69"/>
      <c r="D18" s="69"/>
      <c r="E18" s="69"/>
      <c r="F18" s="69"/>
      <c r="G18" s="69" t="s">
        <v>108</v>
      </c>
      <c r="H18" s="69"/>
      <c r="I18" s="69"/>
      <c r="J18" s="70">
        <v>28.17</v>
      </c>
      <c r="K18" s="69">
        <v>12</v>
      </c>
      <c r="L18" s="70">
        <f t="shared" si="4"/>
        <v>338.04</v>
      </c>
      <c r="M18" s="72" t="s">
        <v>106</v>
      </c>
      <c r="N18" s="69">
        <v>0</v>
      </c>
      <c r="O18" s="72" t="str">
        <f t="shared" si="0"/>
        <v>=</v>
      </c>
      <c r="P18" s="70">
        <f t="shared" si="5"/>
        <v>338.04</v>
      </c>
      <c r="Q18" s="69"/>
      <c r="R18" s="76"/>
    </row>
    <row r="19" spans="1:18" x14ac:dyDescent="0.25">
      <c r="A19" t="s">
        <v>110</v>
      </c>
      <c r="G19" t="s">
        <v>111</v>
      </c>
      <c r="H19">
        <v>759</v>
      </c>
    </row>
    <row r="20" spans="1:18" x14ac:dyDescent="0.25">
      <c r="A20" t="s">
        <v>112</v>
      </c>
      <c r="G20" t="s">
        <v>111</v>
      </c>
      <c r="H20">
        <v>2204</v>
      </c>
    </row>
    <row r="21" spans="1:18" x14ac:dyDescent="0.25">
      <c r="A21" t="s">
        <v>113</v>
      </c>
      <c r="G21" t="s">
        <v>111</v>
      </c>
      <c r="H21">
        <v>759</v>
      </c>
    </row>
    <row r="22" spans="1:18" x14ac:dyDescent="0.25">
      <c r="A22" t="s">
        <v>114</v>
      </c>
      <c r="G22" t="s">
        <v>111</v>
      </c>
      <c r="H22">
        <v>2204</v>
      </c>
    </row>
    <row r="26" spans="1:18" x14ac:dyDescent="0.25">
      <c r="B26" t="s">
        <v>115</v>
      </c>
    </row>
    <row r="27" spans="1:18" x14ac:dyDescent="0.25">
      <c r="A27" t="s">
        <v>116</v>
      </c>
      <c r="B27">
        <v>37.880000000000003</v>
      </c>
      <c r="C27">
        <v>12</v>
      </c>
      <c r="D27">
        <f>B27*C27</f>
        <v>454.56000000000006</v>
      </c>
    </row>
    <row r="28" spans="1:18" x14ac:dyDescent="0.25">
      <c r="A28" t="s">
        <v>117</v>
      </c>
      <c r="D28">
        <f>H19</f>
        <v>759</v>
      </c>
    </row>
    <row r="29" spans="1:18" x14ac:dyDescent="0.25">
      <c r="D29">
        <f>SUM(D27:D28)</f>
        <v>1213.56</v>
      </c>
    </row>
    <row r="31" spans="1:18" ht="105" customHeight="1" x14ac:dyDescent="0.25">
      <c r="A31" t="s">
        <v>127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59"/>
  <sheetViews>
    <sheetView workbookViewId="0">
      <selection activeCell="I5" sqref="I5"/>
    </sheetView>
  </sheetViews>
  <sheetFormatPr defaultRowHeight="15" x14ac:dyDescent="0.25"/>
  <cols>
    <col min="1" max="1" width="14" customWidth="1"/>
    <col min="2" max="2" width="14.140625" customWidth="1"/>
    <col min="3" max="3" width="12.28515625" customWidth="1"/>
    <col min="4" max="4" width="16.28515625" customWidth="1"/>
  </cols>
  <sheetData>
    <row r="1" spans="1:9" x14ac:dyDescent="0.25">
      <c r="A1" t="s">
        <v>22</v>
      </c>
      <c r="B1" t="s">
        <v>6</v>
      </c>
      <c r="C1" t="s">
        <v>5</v>
      </c>
      <c r="D1" t="s">
        <v>21</v>
      </c>
      <c r="G1" t="s">
        <v>20</v>
      </c>
      <c r="H1" t="s">
        <v>20</v>
      </c>
      <c r="I1" t="s">
        <v>20</v>
      </c>
    </row>
    <row r="2" spans="1:9" x14ac:dyDescent="0.25">
      <c r="A2">
        <f>B2*60</f>
        <v>525600</v>
      </c>
      <c r="B2">
        <f>C2*24</f>
        <v>8760</v>
      </c>
      <c r="C2">
        <v>365</v>
      </c>
      <c r="D2">
        <v>24</v>
      </c>
      <c r="G2">
        <v>1</v>
      </c>
      <c r="H2" t="s">
        <v>19</v>
      </c>
      <c r="I2" t="s">
        <v>12</v>
      </c>
    </row>
    <row r="3" spans="1:9" x14ac:dyDescent="0.25">
      <c r="G3">
        <v>0</v>
      </c>
      <c r="H3" t="s">
        <v>18</v>
      </c>
      <c r="I3" t="s">
        <v>9</v>
      </c>
    </row>
    <row r="4" spans="1:9" x14ac:dyDescent="0.25">
      <c r="I4" t="s">
        <v>40</v>
      </c>
    </row>
    <row r="5" spans="1:9" x14ac:dyDescent="0.25">
      <c r="I5" t="s">
        <v>19</v>
      </c>
    </row>
    <row r="6" spans="1:9" x14ac:dyDescent="0.25">
      <c r="I6" t="s">
        <v>18</v>
      </c>
    </row>
    <row r="59" spans="7:7" x14ac:dyDescent="0.25">
      <c r="G59">
        <f>'Data Values'!A2</f>
        <v>525600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DCF76A82905B44B0B3BE896BD01C74" ma:contentTypeVersion="0" ma:contentTypeDescription="Create a new document." ma:contentTypeScope="" ma:versionID="e8701eaf82fcd3ae31ee41f8e01b72aa">
  <xsd:schema xmlns:xsd="http://www.w3.org/2001/XMLSchema" xmlns:xs="http://www.w3.org/2001/XMLSchema" xmlns:p="http://schemas.microsoft.com/office/2006/metadata/properties" xmlns:ns2="0717df80-d7c4-4988-8193-059af99a06fd" targetNamespace="http://schemas.microsoft.com/office/2006/metadata/properties" ma:root="true" ma:fieldsID="eac7e503051983a4bbb5ab9380fbeab3" ns2:_="">
    <xsd:import namespace="0717df80-d7c4-4988-8193-059af99a06f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17df80-d7c4-4988-8193-059af99a06f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717df80-d7c4-4988-8193-059af99a06fd">4NE3PE464PHD-316-8</_dlc_DocId>
    <_dlc_DocIdUrl xmlns="0717df80-d7c4-4988-8193-059af99a06fd">
      <Url>https://asmp.austin.utexas.edu/techarch/int-sme/_layouts/15/DocIdRedir.aspx?ID=4NE3PE464PHD-316-8</Url>
      <Description>4NE3PE464PHD-316-8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DADC76-8B67-4F37-8F16-E82FADB0F2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17df80-d7c4-4988-8193-059af99a06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8464A27-BB75-443F-BB9D-EED062172CEC}">
  <ds:schemaRefs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0717df80-d7c4-4988-8193-059af99a06f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A7E9D28-8D1F-4898-941E-228AAE811F93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FED401A-DDD5-47AB-943C-D26DE40B48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Instructions - Start Here</vt:lpstr>
      <vt:lpstr>Cloud Rubric- Factors</vt:lpstr>
      <vt:lpstr>Cloud Rubric- TCO Evaluation</vt:lpstr>
      <vt:lpstr>Rubric Summary</vt:lpstr>
      <vt:lpstr>Qualitative</vt:lpstr>
      <vt:lpstr>Glossary of Terms</vt:lpstr>
      <vt:lpstr>InstanceChecks</vt:lpstr>
      <vt:lpstr>Instance Defs</vt:lpstr>
      <vt:lpstr>Data Values</vt:lpstr>
      <vt:lpstr>Qualitative!Component</vt:lpstr>
      <vt:lpstr>greencheck</vt:lpstr>
      <vt:lpstr>Qual_Factors</vt:lpstr>
      <vt:lpstr>Questions</vt:lpstr>
      <vt:lpstr>redcheck</vt:lpstr>
      <vt:lpstr>Yes_No</vt:lpstr>
    </vt:vector>
  </TitlesOfParts>
  <Company>The University of Texas at Austin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Weigel, Eric L</dc:creator>
  <cp:lastModifiedBy>Eric Weigel</cp:lastModifiedBy>
  <cp:lastPrinted>2019-10-22T16:51:16Z</cp:lastPrinted>
  <dcterms:created xsi:type="dcterms:W3CDTF">2016-05-23T05:20:44Z</dcterms:created>
  <dcterms:modified xsi:type="dcterms:W3CDTF">2020-06-15T19:58:04Z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0x0101008FDCF76A82905B44B0B3BE896BD01C74</vt:lpwstr>
  </property>
  <property fmtid="{D5CDD505-2E9C-101B-9397-08002B2CF9AE}" pid="3" name="_dlc_DocIdItemGuid">
    <vt:lpwstr>7492737d-2101-4bb5-83b1-e5a365277e3a</vt:lpwstr>
  </property>
</Properties>
</file>